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1640" tabRatio="726" activeTab="14"/>
  </bookViews>
  <sheets>
    <sheet name="3.1a, 3.1b" sheetId="1" r:id="rId1"/>
    <sheet name="3.2" sheetId="2" r:id="rId2"/>
    <sheet name="3.3a" sheetId="3" r:id="rId3"/>
    <sheet name="3.3b" sheetId="4" r:id="rId4"/>
    <sheet name="3.3c" sheetId="5" r:id="rId5"/>
    <sheet name="3.4a" sheetId="6" r:id="rId6"/>
    <sheet name="3.4b" sheetId="7" r:id="rId7"/>
    <sheet name="3.4c" sheetId="8" r:id="rId8"/>
    <sheet name="3.5a" sheetId="9" r:id="rId9"/>
    <sheet name="3.5b" sheetId="10" r:id="rId10"/>
    <sheet name="3.5c" sheetId="11" r:id="rId11"/>
    <sheet name="3.6a" sheetId="12" r:id="rId12"/>
    <sheet name="3.6b" sheetId="13" r:id="rId13"/>
    <sheet name="3.6c" sheetId="14" r:id="rId14"/>
    <sheet name="3.7" sheetId="15" r:id="rId15"/>
    <sheet name="3.8a" sheetId="16" r:id="rId16"/>
    <sheet name="3.8b" sheetId="17" r:id="rId17"/>
    <sheet name="3.8c" sheetId="18" r:id="rId18"/>
  </sheets>
  <definedNames>
    <definedName name="_xlnm.Print_Area" localSheetId="2">'3.3a'!$A$1:$J$24</definedName>
    <definedName name="_xlnm.Print_Area" localSheetId="7">'3.4c'!$A:$IV</definedName>
  </definedNames>
  <calcPr fullCalcOnLoad="1"/>
</workbook>
</file>

<file path=xl/sharedStrings.xml><?xml version="1.0" encoding="utf-8"?>
<sst xmlns="http://schemas.openxmlformats.org/spreadsheetml/2006/main" count="822" uniqueCount="221">
  <si>
    <t>Termin</t>
  </si>
  <si>
    <t>Maximalt studiemedelsbelopp, kr</t>
  </si>
  <si>
    <t>Studiebidragets
andel av totala 
beloppet i %</t>
  </si>
  <si>
    <t>Studiebidrag</t>
  </si>
  <si>
    <t>Totalt</t>
  </si>
  <si>
    <t>Vår- och höstterminen</t>
  </si>
  <si>
    <t xml:space="preserve">Vårterminen </t>
  </si>
  <si>
    <t xml:space="preserve">Höstterminen </t>
  </si>
  <si>
    <t>Vår- och hösterminen</t>
  </si>
  <si>
    <t>Grundskolenivå</t>
  </si>
  <si>
    <t>Gymnasienivå</t>
  </si>
  <si>
    <t>Eftergymnasial nivå</t>
  </si>
  <si>
    <t xml:space="preserve">Komvux/
Folkhög-
skola
</t>
  </si>
  <si>
    <t xml:space="preserve">Komvux
</t>
  </si>
  <si>
    <t xml:space="preserve">Forskar-
utbildning
</t>
  </si>
  <si>
    <t>Heltid</t>
  </si>
  <si>
    <t xml:space="preserve">Män </t>
  </si>
  <si>
    <t>Kvinnor</t>
  </si>
  <si>
    <t>Deltid</t>
  </si>
  <si>
    <t>Män</t>
  </si>
  <si>
    <t>25 - 29</t>
  </si>
  <si>
    <t>30 - 34</t>
  </si>
  <si>
    <t>35 - 39</t>
  </si>
  <si>
    <t>40 - 44</t>
  </si>
  <si>
    <t>45 - 49</t>
  </si>
  <si>
    <t>50 - 54</t>
  </si>
  <si>
    <t>55 -</t>
  </si>
  <si>
    <r>
      <t xml:space="preserve">00 </t>
    </r>
    <r>
      <rPr>
        <sz val="8.5"/>
        <rFont val="Arial"/>
        <family val="2"/>
      </rPr>
      <t>- 19</t>
    </r>
  </si>
  <si>
    <t>20 - 24</t>
  </si>
  <si>
    <t xml:space="preserve">Folkhög-
skola
 </t>
  </si>
  <si>
    <t>obetalda avgifter</t>
  </si>
  <si>
    <t>obetalda återkrav</t>
  </si>
  <si>
    <t>för hög inkomst</t>
  </si>
  <si>
    <t>Höstterminen</t>
  </si>
  <si>
    <t>Special-
pedagogisk
examen/
påbyggnad</t>
  </si>
  <si>
    <t>Stockholm</t>
  </si>
  <si>
    <t>Örebro</t>
  </si>
  <si>
    <t>Hela riket</t>
  </si>
  <si>
    <t>50-årsregeln</t>
  </si>
  <si>
    <t>Folkhögskola</t>
  </si>
  <si>
    <t>Komvux</t>
  </si>
  <si>
    <t>År</t>
  </si>
  <si>
    <t>Gymnasieskola</t>
  </si>
  <si>
    <t>KY-utbildning</t>
  </si>
  <si>
    <t>Forskarutbildning</t>
  </si>
  <si>
    <t>Övriga</t>
  </si>
  <si>
    <t>Studie-
bidrag</t>
  </si>
  <si>
    <t>Merkost-
nadslån</t>
  </si>
  <si>
    <t xml:space="preserve">Yrkes-
teknisk
högskola
</t>
  </si>
  <si>
    <t>Varav med enbart 
studiebidrag</t>
  </si>
  <si>
    <t>34,5% bidragsnivå</t>
  </si>
  <si>
    <t>82% bidragsnivå</t>
  </si>
  <si>
    <t xml:space="preserve">Grundlån
</t>
  </si>
  <si>
    <t>Hel- och deltid</t>
  </si>
  <si>
    <t>Totalt antal</t>
  </si>
  <si>
    <t>Totalt
efter-
gymnasial
nivå</t>
  </si>
  <si>
    <t xml:space="preserve">Antal </t>
  </si>
  <si>
    <t xml:space="preserve">Totalt </t>
  </si>
  <si>
    <t>Kvinnor
och män</t>
  </si>
  <si>
    <t>Totalt
grundskole-
gymnasie-
nivå</t>
  </si>
  <si>
    <t>Totalt
efter-
gymnasial-
nivå</t>
  </si>
  <si>
    <t>längsta tid gy-nivå</t>
  </si>
  <si>
    <t>längsta tid eg-nivå</t>
  </si>
  <si>
    <t>Grund-
läggande
högskole-
utbildning</t>
  </si>
  <si>
    <t>-</t>
  </si>
  <si>
    <t>.</t>
  </si>
  <si>
    <t>Basår</t>
  </si>
  <si>
    <t>Tilläggs-
lån</t>
  </si>
  <si>
    <t xml:space="preserve">Grundskole- och gymnasienivå </t>
  </si>
  <si>
    <t>Grundskole- och gymnasienivå</t>
  </si>
  <si>
    <t>1)   Inkl. vissa gymnasiala utbildningar med annan huvudman än kommun och landsting.</t>
  </si>
  <si>
    <t>Grund-
skolenivå</t>
  </si>
  <si>
    <t xml:space="preserve">Gymnasienivå
</t>
  </si>
  <si>
    <t xml:space="preserve">Eftergymnasial nivå
</t>
  </si>
  <si>
    <t xml:space="preserve"> Eftergymnasial nivå
</t>
  </si>
  <si>
    <r>
      <t>Gymnasienivå</t>
    </r>
    <r>
      <rPr>
        <vertAlign val="superscript"/>
        <sz val="8.5"/>
        <rFont val="Arial"/>
        <family val="2"/>
      </rPr>
      <t>2)</t>
    </r>
  </si>
  <si>
    <r>
      <t>Övriga</t>
    </r>
    <r>
      <rPr>
        <vertAlign val="superscript"/>
        <sz val="8.5"/>
        <rFont val="Arial"/>
        <family val="2"/>
      </rPr>
      <t>3)</t>
    </r>
    <r>
      <rPr>
        <sz val="8.5"/>
        <rFont val="Arial"/>
        <family val="2"/>
      </rPr>
      <t xml:space="preserve">
</t>
    </r>
  </si>
  <si>
    <t xml:space="preserve">Kvinnor
</t>
  </si>
  <si>
    <t xml:space="preserve">Män
</t>
  </si>
  <si>
    <t>1)   Beräkningen av studiemedel grundas på prisbasbeloppet enligt lagen om allmän försäkring.
2)   Avser grundlån. Under vissa omständigheter finns därutöver möjlighet att erhålla merkostnadslån 
      samt, fr.o.m. höstterminen 2001, tilläggslån.</t>
  </si>
  <si>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</si>
  <si>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</si>
  <si>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</si>
  <si>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</si>
  <si>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</si>
  <si>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</si>
  <si>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</si>
  <si>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</si>
  <si>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</si>
  <si>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</si>
  <si>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</si>
  <si>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</si>
  <si>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</si>
  <si>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</si>
  <si>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</si>
  <si>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</si>
  <si>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</si>
  <si>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</si>
  <si>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</si>
  <si>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</si>
  <si>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</si>
  <si>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</si>
  <si>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</si>
  <si>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</si>
  <si>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</si>
  <si>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</si>
  <si>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</si>
  <si>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</si>
  <si>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t>20-årsregeln</t>
  </si>
  <si>
    <t>Län</t>
  </si>
  <si>
    <t>3                Studiemedel</t>
  </si>
  <si>
    <t xml:space="preserve">Tabell 3.1a    Prisbasbelopp samt maximalt studiemedelsbelopp för studieperiod
                      om 20 veckor med generellt, 34,5 procent, studiebidrag </t>
  </si>
  <si>
    <t>Kön/bidragsnivå</t>
  </si>
  <si>
    <t>Grundlån</t>
  </si>
  <si>
    <t>Merkostnadslån</t>
  </si>
  <si>
    <t>Tilläggslån</t>
  </si>
  <si>
    <t>1)   Exkl. utlandsutbildningar.</t>
  </si>
  <si>
    <t>1)   Exkl. utlandsutbildningar.
2)   Inkl. vissa gymnasiala utbildningar med annan huvudman än kommun och landsting samt basåret vid högskola/universitet.
3)   Andra eftergymnasiala utbildningar än högskoleutbildningar.</t>
  </si>
  <si>
    <t>Gymnasie-
nivå</t>
  </si>
  <si>
    <t>Grundskole-
nivå</t>
  </si>
  <si>
    <t>Eftergymna-
sial nivå</t>
  </si>
  <si>
    <t xml:space="preserve">Totalt
</t>
  </si>
  <si>
    <r>
      <t xml:space="preserve">
Övriga</t>
    </r>
    <r>
      <rPr>
        <vertAlign val="superscript"/>
        <sz val="8.5"/>
        <rFont val="Arial"/>
        <family val="2"/>
      </rPr>
      <t xml:space="preserve">3)
</t>
    </r>
    <r>
      <rPr>
        <sz val="8.5"/>
        <rFont val="Arial"/>
        <family val="2"/>
      </rPr>
      <t xml:space="preserve">
</t>
    </r>
  </si>
  <si>
    <t xml:space="preserve">
Komvux/
Folkhög-
skola
</t>
  </si>
  <si>
    <t xml:space="preserve">Folkhög-
skola
</t>
  </si>
  <si>
    <t>Eftergym-
nasial nivå</t>
  </si>
  <si>
    <r>
      <t xml:space="preserve">Studietakt
</t>
    </r>
    <r>
      <rPr>
        <sz val="8"/>
        <rFont val="Arial"/>
        <family val="2"/>
      </rPr>
      <t>Kön</t>
    </r>
  </si>
  <si>
    <t xml:space="preserve">
</t>
  </si>
  <si>
    <t>1)   Avser län där den studerande är folkbokförd.
2)   Inkl. vissa gymnasiala utbildningar med annan huvudman än kommun eller landsting.</t>
  </si>
  <si>
    <t xml:space="preserve">1)   Exkl. utlandsutbildningar.
2)   Nettoräknat antal. Studerande som läst med olika bidragsnivåer under tidsperioden har endast räknats en gång. </t>
  </si>
  <si>
    <t>Nivå</t>
  </si>
  <si>
    <t xml:space="preserve">Skolform
</t>
  </si>
  <si>
    <t xml:space="preserve">
Skolform
</t>
  </si>
  <si>
    <t>Studietakt</t>
  </si>
  <si>
    <t xml:space="preserve">Kön
</t>
  </si>
  <si>
    <t>Kön</t>
  </si>
  <si>
    <t>Studietakt
Kön</t>
  </si>
  <si>
    <t xml:space="preserve">Avslagsgrund
</t>
  </si>
  <si>
    <t>1)   Avser län där den studerande är folkbokförd.
2)   Inkl. vissa gymnasiala utbildningar med annan huvudman än kommun eller landsting samt basåret 
      vid högskola och universitet.</t>
  </si>
  <si>
    <t xml:space="preserve">2)
</t>
  </si>
  <si>
    <t xml:space="preserve">Gymnasie-
skola
m.m.
</t>
  </si>
  <si>
    <r>
      <t>Gymnasie-
skola
m.m.</t>
    </r>
    <r>
      <rPr>
        <sz val="8.5"/>
        <rFont val="Arial"/>
        <family val="2"/>
      </rPr>
      <t xml:space="preserve">
</t>
    </r>
  </si>
  <si>
    <t xml:space="preserve">
Gymnasie-
skola 
m.m.
</t>
  </si>
  <si>
    <t xml:space="preserve">1)
</t>
  </si>
  <si>
    <r>
      <t>Varav med följande 
avslagsmotivering</t>
    </r>
    <r>
      <rPr>
        <vertAlign val="superscript"/>
        <sz val="8.5"/>
        <rFont val="Arial"/>
        <family val="2"/>
      </rPr>
      <t>5)</t>
    </r>
  </si>
  <si>
    <t xml:space="preserve">                      Price base amount and maximum amount of financial student aid 
                      by a period of 20 weeks, higher grant                </t>
  </si>
  <si>
    <t xml:space="preserve">                  Financial student aid</t>
  </si>
  <si>
    <t xml:space="preserve">                      Price base amount and maximum amount of financial student aid 
                      by a period of 20 weeks, basic grant      </t>
  </si>
  <si>
    <t>1)   Beräkningen av studiemedel grundas på prisbasbeloppet enligt lagen om allmän försäkring.
2)   Avser grundlån. Under vissa omständigheter finns dessutom möjlighet att erhålla merkostnadslån 
      samt, fr.o.m. höstterminen 2001, tilläggslån. 
3)   Prisbasbeloppet = 34 400 kr. Studiemedel beräknades på ett särskilt basbelopp.</t>
  </si>
  <si>
    <t>Utbetalda belopp, mnkr</t>
  </si>
  <si>
    <t>Kompletterande utbildning</t>
  </si>
  <si>
    <t>1)   Exkl. utlandsutbildningar.
2)   Inkl. vissa gymnasiala utbildningar med annan huvudman än kommun och landsting samt basåret vid högskola/universitet. 
3)   Andra eftergymnasiala utbildningar än högskoleutbildningar.</t>
  </si>
  <si>
    <r>
      <t>Tabell 3.2     Antal studerande som fått studiemedel samt utbetalda belopp fördelade efter kön, 
                      bidragsnivå och typ av belopp, 2004/05</t>
    </r>
    <r>
      <rPr>
        <b/>
        <vertAlign val="superscript"/>
        <sz val="10"/>
        <rFont val="Arial"/>
        <family val="2"/>
      </rPr>
      <t>1)</t>
    </r>
  </si>
  <si>
    <t xml:space="preserve">                     Number of students receiving financial student aid and total expenditure, 
                     by sex, level of grant and type of aid, 2004/05 </t>
  </si>
  <si>
    <r>
      <t>Tabell 3.8a    Antal studerande som har fått studiemedel för studier på grundskole- 
                      och gymnasienivå fördelade efter kön och län</t>
    </r>
    <r>
      <rPr>
        <b/>
        <vertAlign val="superscript"/>
        <sz val="10"/>
        <rFont val="Arial"/>
        <family val="2"/>
      </rPr>
      <t>1)</t>
    </r>
    <r>
      <rPr>
        <b/>
        <sz val="10"/>
        <rFont val="Arial"/>
        <family val="2"/>
      </rPr>
      <t>, 2004/05</t>
    </r>
  </si>
  <si>
    <t xml:space="preserve">                      Number of students receiving financial student aid for studies at compulsory 
                      school level and at upper secondary school level by sex and county, 2004/05</t>
  </si>
  <si>
    <r>
      <t>Tabell 3.8b    Antal studerande som har fått studiemedel med 34,5 procent studiebidrag, för studier 
                      på grundskole- och gymnasienivå fördelade efter kön och län</t>
    </r>
    <r>
      <rPr>
        <b/>
        <vertAlign val="superscript"/>
        <sz val="10"/>
        <rFont val="Arial"/>
        <family val="2"/>
      </rPr>
      <t>1)</t>
    </r>
    <r>
      <rPr>
        <b/>
        <sz val="10"/>
        <rFont val="Arial"/>
        <family val="2"/>
      </rPr>
      <t>, 2004/05</t>
    </r>
  </si>
  <si>
    <t xml:space="preserve">                      Number of students receiving basic grant for studies at compulsory school level 
                      and at upper secondary school level by sex and county, 2004/05</t>
  </si>
  <si>
    <t xml:space="preserve">                      Number of students receiving higher grant at compulsory school level and at upper 
                      secondary school level by sex and county, 2004/05</t>
  </si>
  <si>
    <t>Höstterminen 2004</t>
  </si>
  <si>
    <t>Vårterminen 2005</t>
  </si>
  <si>
    <r>
      <t>Tabell 3.3a     Antal studerande som fått studiemedel fördelade efter kön, 
                       typ av belopp, skolform och utbildningens nivå, 2004/05</t>
    </r>
    <r>
      <rPr>
        <b/>
        <vertAlign val="superscript"/>
        <sz val="10"/>
        <rFont val="Arial"/>
        <family val="2"/>
      </rPr>
      <t>1)</t>
    </r>
  </si>
  <si>
    <t xml:space="preserve">                       Number of students receiving financial student aid by sex, 
                       type of aid, level of education and type of school, 2004/05</t>
  </si>
  <si>
    <r>
      <t>Tabell 3.3b    Antal studerande som fått studiemedel med 34,5 procent studiebidrag 
                      fördelade efter kön, typ av belopp, skolform och utbildningens nivå 2004/05</t>
    </r>
    <r>
      <rPr>
        <b/>
        <vertAlign val="superscript"/>
        <sz val="10"/>
        <rFont val="Arial"/>
        <family val="2"/>
      </rPr>
      <t>1)</t>
    </r>
  </si>
  <si>
    <t xml:space="preserve">                      Number of students receiving basic grant by sex, type of aid, level 
                      of education and type of school, 2004/05</t>
  </si>
  <si>
    <t>Tabell 3.3c    Antal studerande som fått studiemedel med 82 procent studiebidrag fördelade 
                      efter kön, typ av belopp, skolform och utbildningens nivå, 2004/05</t>
  </si>
  <si>
    <t xml:space="preserve">                      Number of students receiving higher grant by sex, type of aid and 
                      level of education, 2004/05 </t>
  </si>
  <si>
    <r>
      <t>Tabell 3.7    Antal personer som fått avslag på ansökan om studiemedel fördelade efter 
                     utbildningens nivå, skolform, kön och avslagsgrund, 2004/05</t>
    </r>
    <r>
      <rPr>
        <b/>
        <vertAlign val="superscript"/>
        <sz val="10"/>
        <rFont val="Arial"/>
        <family val="2"/>
      </rPr>
      <t>1)</t>
    </r>
    <r>
      <rPr>
        <b/>
        <sz val="10"/>
        <rFont val="Arial"/>
        <family val="2"/>
      </rPr>
      <t xml:space="preserve">  </t>
    </r>
  </si>
  <si>
    <t xml:space="preserve">                     Number of students with rejected applications for financial student aid by 
                     level of education, type of school, sex and grounds given for rejection, 2004/05</t>
  </si>
  <si>
    <t xml:space="preserve"> </t>
  </si>
  <si>
    <t xml:space="preserve">                      Number of students receiving financial student aid and students receiving only the 
                      grant element of student aid, by activity, sex and level of education, 2004/05</t>
  </si>
  <si>
    <r>
      <t>Tabell 3.4b    Antal studerande som har fått studiemedel med 34,5 procent studiebidrag samt 
                      studerande som fått enbart studiebidrag fördelade efter studietakt, kön och 
                      utbildningens nivå, 2004/05</t>
    </r>
    <r>
      <rPr>
        <b/>
        <vertAlign val="superscript"/>
        <sz val="10"/>
        <rFont val="Arial"/>
        <family val="2"/>
      </rPr>
      <t>1)</t>
    </r>
    <r>
      <rPr>
        <b/>
        <sz val="10"/>
        <rFont val="Arial"/>
        <family val="2"/>
      </rPr>
      <t xml:space="preserve">  </t>
    </r>
  </si>
  <si>
    <t xml:space="preserve">                      Number of students receiving basic grant and students receiving only the grant element 
                      of student aid, by activity, sex and level of education, 2004/05</t>
  </si>
  <si>
    <t xml:space="preserve">Tabell 3.4c    Antal studerande som har fått studiemedel med 82 procent studiebidrag 
                      samt studerande som fått enbart studiebidrag fördelade efter studietakt, 
                      kön och utbildningens nivå, 2004/05 </t>
  </si>
  <si>
    <t xml:space="preserve">                      Number of students receiving higher grant and students receiving only the grant 
                      element of student aid, by activity, sex and level of education, 2004/05</t>
  </si>
  <si>
    <t>Grundl. högskoleutbildning</t>
  </si>
  <si>
    <t xml:space="preserve">                      Relative share of students receiving basic grant, by age, sex, level of education 
                      and type of school, 2004/05, per cent</t>
  </si>
  <si>
    <t xml:space="preserve">Ålder
2004-12-31
</t>
  </si>
  <si>
    <r>
      <t>Tabell 3.5b    Andel studerande per åldersgrupp som fått studiemedel med 34,5 procent studie-
                      bidrag fördelade efter kön, utbildningens nivå och skolform, 2004/05</t>
    </r>
    <r>
      <rPr>
        <b/>
        <vertAlign val="superscript"/>
        <sz val="10"/>
        <rFont val="Arial"/>
        <family val="2"/>
      </rPr>
      <t>1)</t>
    </r>
    <r>
      <rPr>
        <b/>
        <sz val="10"/>
        <rFont val="Arial"/>
        <family val="2"/>
      </rPr>
      <t>,</t>
    </r>
    <r>
      <rPr>
        <b/>
        <vertAlign val="superscript"/>
        <sz val="10"/>
        <rFont val="Arial"/>
        <family val="2"/>
      </rPr>
      <t xml:space="preserve">  </t>
    </r>
    <r>
      <rPr>
        <b/>
        <sz val="10"/>
        <rFont val="Arial"/>
        <family val="2"/>
      </rPr>
      <t>procent</t>
    </r>
  </si>
  <si>
    <t xml:space="preserve">                      Relative share of students receiving financial student aid by age, sex, level 
                      of education and type of school, 2004/05, per cent</t>
  </si>
  <si>
    <r>
      <t>Tabell 3.5a    Andel studerande per åldersgrupp som fått studiemedel fördelade efter kön, 
                      utbildningens nivå och skolform, 2004/05</t>
    </r>
    <r>
      <rPr>
        <b/>
        <vertAlign val="superscript"/>
        <sz val="10"/>
        <rFont val="Arial"/>
        <family val="2"/>
      </rPr>
      <t>1)</t>
    </r>
    <r>
      <rPr>
        <b/>
        <sz val="10"/>
        <rFont val="Arial"/>
        <family val="2"/>
      </rPr>
      <t>, procent</t>
    </r>
  </si>
  <si>
    <t xml:space="preserve">                      Relative share of students receiving higher grant, by age, sex, level of 
                      education and type of school, 2004/05</t>
  </si>
  <si>
    <t>Antal kvinnor</t>
  </si>
  <si>
    <t>Antal män</t>
  </si>
  <si>
    <r>
      <t>Totalt</t>
    </r>
    <r>
      <rPr>
        <b/>
        <vertAlign val="superscript"/>
        <sz val="8"/>
        <rFont val="Arial"/>
        <family val="2"/>
      </rPr>
      <t>2)</t>
    </r>
  </si>
  <si>
    <t>1)   Exkl. utlandsutbildningar.
2)   Nettoräknat antal. Studerande som läst på olika utbildningsnivåer under läsåret har endast räknats en gång.</t>
  </si>
  <si>
    <r>
      <t>20 - 24</t>
    </r>
    <r>
      <rPr>
        <vertAlign val="superscript"/>
        <sz val="8.5"/>
        <rFont val="Arial"/>
        <family val="2"/>
      </rPr>
      <t>2)</t>
    </r>
  </si>
  <si>
    <t xml:space="preserve">1)   Inkl. vissa gymnasiala utbildningar med annan huvudman än kommun och landsting.                                                                                                                                                                                                                                                                                           2)   Den åldersfördelning som redovisas avser åldern vid årets slut 2004. Studiemedel med 82 procent
      bidragsandel kan beviljas tidigast fr.o.m. ingången av det kalenderår den studerande fyller 25 år.
      I åldersintervallet 20-24 återfinns personer som fyllde 25 år under 2005 och som påbörjade 
      sina studier under första halvåret 2005.
</t>
  </si>
  <si>
    <r>
      <t>Prisbasbelopp</t>
    </r>
    <r>
      <rPr>
        <vertAlign val="superscript"/>
        <sz val="8.5"/>
        <rFont val="Arial"/>
        <family val="2"/>
      </rPr>
      <t xml:space="preserve">1)
</t>
    </r>
    <r>
      <rPr>
        <sz val="8.5"/>
        <rFont val="Arial"/>
        <family val="2"/>
      </rPr>
      <t xml:space="preserve">kr
</t>
    </r>
  </si>
  <si>
    <r>
      <t>Studielån</t>
    </r>
    <r>
      <rPr>
        <vertAlign val="superscript"/>
        <sz val="8.5"/>
        <rFont val="Arial"/>
        <family val="2"/>
      </rPr>
      <t>2)</t>
    </r>
  </si>
  <si>
    <r>
      <t>32 200</t>
    </r>
    <r>
      <rPr>
        <vertAlign val="superscript"/>
        <sz val="8.5"/>
        <color indexed="9"/>
        <rFont val="Arial"/>
        <family val="2"/>
      </rPr>
      <t>0)</t>
    </r>
  </si>
  <si>
    <r>
      <t>33 700</t>
    </r>
    <r>
      <rPr>
        <vertAlign val="superscript"/>
        <sz val="8.5"/>
        <color indexed="9"/>
        <rFont val="Arial"/>
        <family val="2"/>
      </rPr>
      <t>0)</t>
    </r>
  </si>
  <si>
    <r>
      <t>33 712</t>
    </r>
    <r>
      <rPr>
        <vertAlign val="superscript"/>
        <sz val="8.5"/>
        <rFont val="Arial"/>
        <family val="2"/>
      </rPr>
      <t>3)</t>
    </r>
  </si>
  <si>
    <r>
      <t>34 400</t>
    </r>
    <r>
      <rPr>
        <vertAlign val="superscript"/>
        <sz val="8.5"/>
        <color indexed="9"/>
        <rFont val="Arial"/>
        <family val="2"/>
      </rPr>
      <t>0)</t>
    </r>
  </si>
  <si>
    <r>
      <t>35 200</t>
    </r>
    <r>
      <rPr>
        <vertAlign val="superscript"/>
        <sz val="8.5"/>
        <color indexed="9"/>
        <rFont val="Arial"/>
        <family val="2"/>
      </rPr>
      <t>0)</t>
    </r>
  </si>
  <si>
    <r>
      <t>35 700</t>
    </r>
    <r>
      <rPr>
        <vertAlign val="superscript"/>
        <sz val="8.5"/>
        <color indexed="9"/>
        <rFont val="Arial"/>
        <family val="2"/>
      </rPr>
      <t>0)</t>
    </r>
  </si>
  <si>
    <r>
      <t>36 200</t>
    </r>
    <r>
      <rPr>
        <vertAlign val="superscript"/>
        <sz val="8.5"/>
        <color indexed="9"/>
        <rFont val="Arial"/>
        <family val="2"/>
      </rPr>
      <t>0)</t>
    </r>
  </si>
  <si>
    <r>
      <t>36 300</t>
    </r>
    <r>
      <rPr>
        <vertAlign val="superscript"/>
        <sz val="8.5"/>
        <color indexed="9"/>
        <rFont val="Arial"/>
        <family val="2"/>
      </rPr>
      <t>0)</t>
    </r>
  </si>
  <si>
    <r>
      <t>36 400</t>
    </r>
    <r>
      <rPr>
        <vertAlign val="superscript"/>
        <sz val="8.5"/>
        <color indexed="9"/>
        <rFont val="Arial"/>
        <family val="2"/>
      </rPr>
      <t>0)</t>
    </r>
  </si>
  <si>
    <r>
      <t>36 600</t>
    </r>
    <r>
      <rPr>
        <vertAlign val="superscript"/>
        <sz val="8.5"/>
        <color indexed="9"/>
        <rFont val="Arial"/>
        <family val="2"/>
      </rPr>
      <t>0)</t>
    </r>
  </si>
  <si>
    <r>
      <t>36 900</t>
    </r>
    <r>
      <rPr>
        <vertAlign val="superscript"/>
        <sz val="8.5"/>
        <color indexed="9"/>
        <rFont val="Arial"/>
        <family val="2"/>
      </rPr>
      <t>0)</t>
    </r>
  </si>
  <si>
    <r>
      <t>37 900</t>
    </r>
    <r>
      <rPr>
        <vertAlign val="superscript"/>
        <sz val="8.5"/>
        <color indexed="9"/>
        <rFont val="Arial"/>
        <family val="2"/>
      </rPr>
      <t>0)</t>
    </r>
  </si>
  <si>
    <r>
      <t>38 600</t>
    </r>
    <r>
      <rPr>
        <vertAlign val="superscript"/>
        <sz val="8.5"/>
        <color indexed="9"/>
        <rFont val="Arial"/>
        <family val="2"/>
      </rPr>
      <t>0)</t>
    </r>
  </si>
  <si>
    <r>
      <t>39 300</t>
    </r>
    <r>
      <rPr>
        <vertAlign val="superscript"/>
        <sz val="8.5"/>
        <color indexed="9"/>
        <rFont val="Arial"/>
        <family val="2"/>
      </rPr>
      <t>0)</t>
    </r>
  </si>
  <si>
    <r>
      <t>39 400</t>
    </r>
    <r>
      <rPr>
        <vertAlign val="superscript"/>
        <sz val="8.5"/>
        <color indexed="9"/>
        <rFont val="Arial"/>
        <family val="2"/>
      </rPr>
      <t>0)</t>
    </r>
  </si>
  <si>
    <r>
      <t>Totalt</t>
    </r>
    <r>
      <rPr>
        <b/>
        <vertAlign val="superscript"/>
        <sz val="8.5"/>
        <rFont val="Arial"/>
        <family val="2"/>
      </rPr>
      <t>2)</t>
    </r>
  </si>
  <si>
    <r>
      <t>Totalt antal som 
fått avslag</t>
    </r>
    <r>
      <rPr>
        <b/>
        <vertAlign val="superscript"/>
        <sz val="8.5"/>
        <rFont val="Arial"/>
        <family val="2"/>
      </rPr>
      <t>4)</t>
    </r>
  </si>
  <si>
    <t>Tabell 3.1b    Prisbasbelopp samt maximalt studiemedelsbelopp för studieperiod om
                      20 veckor med högre, 82 procent, studiebidrag</t>
  </si>
  <si>
    <t>1)   Avser län där den studerande är folkbokförd.
2)   Inkl. vissa gymnasiala utbildningar med annan huvudman än kommun eller landsting 
      samt basåret vid högskola och unviersitet.</t>
  </si>
  <si>
    <r>
      <t>Tabell 3.4a    Antal studerande som fått studiemedel samt studerande med enbart 
                      studiebidrag fördelade efter studietakt, kön och utbildningens nivå, 2004/05</t>
    </r>
    <r>
      <rPr>
        <b/>
        <vertAlign val="superscript"/>
        <sz val="10"/>
        <rFont val="Arial"/>
        <family val="2"/>
      </rPr>
      <t>1)</t>
    </r>
    <r>
      <rPr>
        <b/>
        <sz val="10"/>
        <rFont val="Arial"/>
        <family val="2"/>
      </rPr>
      <t xml:space="preserve">  </t>
    </r>
  </si>
  <si>
    <t xml:space="preserve">Tabell 3.5c    Andel studerande per åldersgrupp som fått studiemedel med 82 procent 
                      studiebidrag fördelade efter kön, utbildningens nivå och skolform, 2004/05, procent </t>
  </si>
  <si>
    <r>
      <t>Tabell 3.8c    Antal studerande som har fått studiemedel med 82 procent studiebidrag, för 
                      studier på grundskole- och gymnasienivå fördelade efter kön och län</t>
    </r>
    <r>
      <rPr>
        <b/>
        <vertAlign val="superscript"/>
        <sz val="10"/>
        <rFont val="Arial"/>
        <family val="2"/>
      </rPr>
      <t>1)</t>
    </r>
    <r>
      <rPr>
        <b/>
        <sz val="10"/>
        <rFont val="Arial"/>
        <family val="2"/>
      </rPr>
      <t>, 2004/05</t>
    </r>
  </si>
  <si>
    <r>
      <t>Tabell 3.6a    Antal studerande som har fått reducerade studiemedel 
                      på grund av meddelad inkomst fördelade efter utbild-
                      ningens nivå, studietakt och kön, 2004/05</t>
    </r>
    <r>
      <rPr>
        <b/>
        <vertAlign val="superscript"/>
        <sz val="10"/>
        <rFont val="Arial"/>
        <family val="2"/>
      </rPr>
      <t>1)2)</t>
    </r>
    <r>
      <rPr>
        <b/>
        <sz val="10"/>
        <rFont val="Arial"/>
        <family val="2"/>
      </rPr>
      <t xml:space="preserve">  </t>
    </r>
  </si>
  <si>
    <t xml:space="preserve">                      Number of students receiving reduced financial student aid 
                      due to reported income by level of education, activity and 
                      sex, 2004/05</t>
  </si>
  <si>
    <r>
      <t>Tabell 3.6b    Antal studerande, med 34,5 procent studiebidrag, 
                      som har fått reducerade studiemedel på grund av 
                      meddelad inkomst fördelade efter utbildningens 
                      nivå, studietakt och kön, 2004/05</t>
    </r>
    <r>
      <rPr>
        <b/>
        <vertAlign val="superscript"/>
        <sz val="10"/>
        <rFont val="Arial"/>
        <family val="2"/>
      </rPr>
      <t xml:space="preserve">1)2) </t>
    </r>
  </si>
  <si>
    <r>
      <t>Tabell 3.6c    Antal studerande, med 82 procent studiebidrag, som 
                      har fått reducerade studiemedel på grund av meddelad 
                      inkomst fördelade efter utbildningens nivå, studietakt 
                      och kön, 2004/05</t>
    </r>
    <r>
      <rPr>
        <b/>
        <vertAlign val="superscript"/>
        <sz val="10"/>
        <rFont val="Arial"/>
        <family val="2"/>
      </rPr>
      <t>1)2)</t>
    </r>
    <r>
      <rPr>
        <b/>
        <sz val="10"/>
        <rFont val="Arial"/>
        <family val="2"/>
      </rPr>
      <t xml:space="preserve">  </t>
    </r>
  </si>
  <si>
    <t xml:space="preserve">                      Number of students receiving reduced financial student aid
                      including the basic grant, due to reported income by level of 
                      education, activity and sex, 2004/05</t>
  </si>
  <si>
    <t xml:space="preserve">                      Number of students receiving reduced financial student aid including
                      the higher grant, due to reported income by level of education, activity 
                      and sex, 2004/05</t>
  </si>
  <si>
    <t>1)   Exkl. utlandsstuderande.
2)   Redovisningen innefattar de beslut om reducering som görs utifrån uppgiven inkomst av 
      den studerande. Det är de uppgifter som ligger till grund vid prövning och utbetalning. 
      Den efterkontroll som görs mot Riksskatteverkets taxeringsregister finns ej med i tabellen.</t>
  </si>
  <si>
    <r>
      <t>studieresultat</t>
    </r>
    <r>
      <rPr>
        <vertAlign val="superscript"/>
        <sz val="8.5"/>
        <rFont val="Arial"/>
        <family val="2"/>
      </rPr>
      <t>6</t>
    </r>
  </si>
  <si>
    <t>1)   Exkl. utlandsutbildningar.                                                                                                                                                                                                                                    
2)   Inkl. vissa gymnasiala utbildningar med annan huvudman än kommun och landsting samt basåret vid högskola/universitet.
3)   Andra eftergymnasiala utbildningar än högskoleutbildningar.                                                                                                                                                                                       4)   Redovisningen omfattar de avslagsbeslut där utbildningsnivån är känd.
5)   En ansökan kan avslås på flera grunder. Här redovisas några av de vanligaste orsakerna till avslag.
6)   Uppgifterna för studieresultat är korrigerade 2012-06-07</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</si>
</sst>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 numFmtId="167" formatCode="#,##0.000"/>
  </numFmts>
  <fonts count="55">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b/>
      <sz val="8"/>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
      <u val="single"/>
      <sz val="10"/>
      <color indexed="12"/>
      <name val="Arial"/>
      <family val="0"/>
    </font>
    <font>
      <u val="single"/>
      <sz val="10"/>
      <color indexed="36"/>
      <name val="Arial"/>
      <family val="0"/>
    </font>
    <font>
      <b/>
      <sz val="8"/>
      <color indexed="10"/>
      <name val="Arial"/>
      <family val="2"/>
    </font>
    <font>
      <b/>
      <vertAlign val="superscript"/>
      <sz val="8.5"/>
      <name val="Arial"/>
      <family val="2"/>
    </font>
    <font>
      <vertAlign val="superscript"/>
      <sz val="8.5"/>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2" applyNumberFormat="0" applyAlignment="0" applyProtection="0"/>
    <xf numFmtId="0" fontId="45" fillId="31" borderId="3" applyNumberFormat="0" applyAlignment="0" applyProtection="0"/>
    <xf numFmtId="0" fontId="46" fillId="0" borderId="4" applyNumberFormat="0" applyFill="0" applyAlignment="0" applyProtection="0"/>
    <xf numFmtId="0" fontId="47" fillId="32"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cellStyleXfs>
  <cellXfs count="188">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0"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0" xfId="0" applyFont="1" applyBorder="1" applyAlignment="1">
      <alignment horizontal="left" indent="1"/>
    </xf>
    <xf numFmtId="0" fontId="3" fillId="0" borderId="10"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7"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2" fillId="0" borderId="0" xfId="0" applyFont="1" applyBorder="1" applyAlignment="1">
      <alignment wrapText="1"/>
    </xf>
    <xf numFmtId="0" fontId="8" fillId="0" borderId="0" xfId="0" applyFont="1" applyAlignment="1">
      <alignment wrapText="1"/>
    </xf>
    <xf numFmtId="0" fontId="8" fillId="0" borderId="11" xfId="0" applyFont="1" applyBorder="1" applyAlignment="1">
      <alignment wrapText="1"/>
    </xf>
    <xf numFmtId="0" fontId="0" fillId="0" borderId="0" xfId="0" applyBorder="1" applyAlignment="1">
      <alignment wrapText="1"/>
    </xf>
    <xf numFmtId="0" fontId="1"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wrapText="1"/>
    </xf>
    <xf numFmtId="0" fontId="8" fillId="0" borderId="0" xfId="0" applyFont="1" applyAlignment="1">
      <alignment/>
    </xf>
    <xf numFmtId="0" fontId="8" fillId="0" borderId="10" xfId="0" applyFont="1" applyBorder="1" applyAlignment="1">
      <alignment/>
    </xf>
    <xf numFmtId="0" fontId="2" fillId="0" borderId="0" xfId="0" applyFont="1" applyAlignment="1">
      <alignment/>
    </xf>
    <xf numFmtId="0" fontId="8" fillId="0" borderId="0" xfId="0" applyFont="1" applyAlignment="1">
      <alignment horizontal="left" indent="1"/>
    </xf>
    <xf numFmtId="0" fontId="8" fillId="0" borderId="10" xfId="0" applyFont="1" applyBorder="1" applyAlignment="1">
      <alignment horizontal="left" indent="1"/>
    </xf>
    <xf numFmtId="0" fontId="8" fillId="0" borderId="0" xfId="0" applyFont="1" applyAlignment="1">
      <alignment horizontal="left" wrapText="1" indent="1"/>
    </xf>
    <xf numFmtId="0" fontId="0" fillId="0" borderId="0" xfId="0" applyBorder="1" applyAlignment="1">
      <alignment horizontal="left"/>
    </xf>
    <xf numFmtId="0" fontId="8" fillId="0" borderId="10" xfId="0" applyFont="1" applyBorder="1" applyAlignment="1">
      <alignment wrapText="1"/>
    </xf>
    <xf numFmtId="0" fontId="8" fillId="0" borderId="0" xfId="0" applyFont="1" applyBorder="1" applyAlignment="1">
      <alignment/>
    </xf>
    <xf numFmtId="3" fontId="8" fillId="0" borderId="0" xfId="0" applyNumberFormat="1" applyFont="1" applyAlignment="1">
      <alignment horizontal="right"/>
    </xf>
    <xf numFmtId="3" fontId="8" fillId="0" borderId="0" xfId="0" applyNumberFormat="1" applyFont="1" applyAlignment="1">
      <alignment/>
    </xf>
    <xf numFmtId="0" fontId="8" fillId="0" borderId="0" xfId="0" applyFont="1" applyAlignment="1">
      <alignment horizontal="right"/>
    </xf>
    <xf numFmtId="3" fontId="8" fillId="0" borderId="0" xfId="0" applyNumberFormat="1" applyFont="1" applyBorder="1" applyAlignment="1">
      <alignment horizontal="right"/>
    </xf>
    <xf numFmtId="0" fontId="8" fillId="0" borderId="0" xfId="0" applyFont="1" applyBorder="1" applyAlignment="1">
      <alignment horizontal="left"/>
    </xf>
    <xf numFmtId="3" fontId="8" fillId="0" borderId="0" xfId="0" applyNumberFormat="1" applyFont="1" applyBorder="1" applyAlignment="1">
      <alignment/>
    </xf>
    <xf numFmtId="3" fontId="8" fillId="0" borderId="10" xfId="0" applyNumberFormat="1" applyFont="1" applyBorder="1" applyAlignment="1">
      <alignment horizontal="right"/>
    </xf>
    <xf numFmtId="3" fontId="8" fillId="0" borderId="10" xfId="0" applyNumberFormat="1" applyFont="1" applyBorder="1" applyAlignment="1">
      <alignment/>
    </xf>
    <xf numFmtId="0" fontId="8" fillId="0" borderId="10" xfId="0" applyFont="1" applyBorder="1" applyAlignment="1">
      <alignment horizontal="right"/>
    </xf>
    <xf numFmtId="0" fontId="8" fillId="0" borderId="10" xfId="0" applyFont="1" applyBorder="1" applyAlignment="1">
      <alignment horizontal="right" wrapText="1"/>
    </xf>
    <xf numFmtId="0" fontId="9" fillId="0" borderId="0" xfId="0" applyFont="1" applyBorder="1" applyAlignment="1">
      <alignment/>
    </xf>
    <xf numFmtId="0" fontId="8" fillId="0" borderId="0" xfId="0" applyFont="1" applyBorder="1" applyAlignment="1">
      <alignment horizontal="left" indent="1"/>
    </xf>
    <xf numFmtId="0" fontId="8" fillId="0" borderId="0" xfId="0" applyFont="1" applyAlignment="1">
      <alignment horizontal="left" wrapText="1"/>
    </xf>
    <xf numFmtId="0" fontId="9" fillId="0" borderId="0" xfId="0" applyFont="1" applyBorder="1" applyAlignment="1">
      <alignment wrapText="1"/>
    </xf>
    <xf numFmtId="0" fontId="8" fillId="0" borderId="0" xfId="0" applyFont="1" applyBorder="1" applyAlignment="1">
      <alignment horizontal="right" wrapText="1"/>
    </xf>
    <xf numFmtId="165" fontId="8" fillId="0" borderId="0" xfId="0" applyNumberFormat="1" applyFont="1" applyAlignment="1">
      <alignment/>
    </xf>
    <xf numFmtId="0" fontId="8"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8" fillId="0" borderId="12" xfId="0" applyFont="1" applyBorder="1" applyAlignment="1">
      <alignment horizontal="right" wrapText="1"/>
    </xf>
    <xf numFmtId="0" fontId="8" fillId="0" borderId="0" xfId="0" applyFont="1" applyBorder="1" applyAlignment="1">
      <alignment/>
    </xf>
    <xf numFmtId="0" fontId="7" fillId="0" borderId="0" xfId="0" applyFont="1" applyBorder="1" applyAlignment="1">
      <alignment wrapText="1"/>
    </xf>
    <xf numFmtId="3" fontId="10" fillId="0" borderId="0" xfId="0" applyNumberFormat="1" applyFont="1" applyAlignment="1">
      <alignment/>
    </xf>
    <xf numFmtId="3" fontId="3" fillId="0" borderId="10" xfId="0" applyNumberFormat="1" applyFont="1" applyBorder="1" applyAlignment="1">
      <alignment/>
    </xf>
    <xf numFmtId="164" fontId="8" fillId="0" borderId="0" xfId="0" applyNumberFormat="1" applyFont="1" applyBorder="1" applyAlignment="1">
      <alignment/>
    </xf>
    <xf numFmtId="3" fontId="3" fillId="0" borderId="0" xfId="0" applyNumberFormat="1" applyFont="1" applyAlignment="1">
      <alignment horizontal="right"/>
    </xf>
    <xf numFmtId="165" fontId="8" fillId="0" borderId="0" xfId="0" applyNumberFormat="1" applyFont="1" applyBorder="1" applyAlignment="1">
      <alignment/>
    </xf>
    <xf numFmtId="0" fontId="9"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Alignment="1">
      <alignment/>
    </xf>
    <xf numFmtId="3" fontId="3" fillId="0" borderId="0" xfId="0" applyNumberFormat="1" applyFont="1" applyBorder="1" applyAlignment="1">
      <alignment horizontal="right"/>
    </xf>
    <xf numFmtId="0" fontId="3" fillId="0" borderId="11" xfId="0" applyFont="1" applyBorder="1" applyAlignment="1">
      <alignment horizontal="left"/>
    </xf>
    <xf numFmtId="0" fontId="9" fillId="0" borderId="0" xfId="0" applyFont="1" applyAlignment="1">
      <alignment horizontal="left"/>
    </xf>
    <xf numFmtId="0" fontId="9" fillId="0" borderId="10" xfId="0" applyFont="1" applyBorder="1" applyAlignment="1">
      <alignment/>
    </xf>
    <xf numFmtId="0" fontId="8"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8" fillId="0" borderId="12" xfId="0" applyFont="1" applyBorder="1" applyAlignment="1">
      <alignment/>
    </xf>
    <xf numFmtId="0" fontId="8" fillId="0" borderId="12" xfId="0" applyFont="1" applyBorder="1" applyAlignment="1">
      <alignment wrapText="1"/>
    </xf>
    <xf numFmtId="0" fontId="0" fillId="0" borderId="12" xfId="0" applyBorder="1" applyAlignment="1">
      <alignment/>
    </xf>
    <xf numFmtId="0" fontId="0" fillId="0" borderId="11" xfId="0" applyBorder="1" applyAlignment="1">
      <alignment horizontal="left"/>
    </xf>
    <xf numFmtId="0" fontId="8" fillId="0" borderId="12" xfId="0" applyFont="1" applyBorder="1" applyAlignment="1">
      <alignment horizontal="left" indent="1"/>
    </xf>
    <xf numFmtId="0" fontId="3" fillId="0" borderId="11" xfId="0" applyFont="1" applyBorder="1" applyAlignment="1">
      <alignment horizontal="right" wrapText="1"/>
    </xf>
    <xf numFmtId="0" fontId="3" fillId="0" borderId="12" xfId="0" applyFont="1" applyBorder="1" applyAlignment="1">
      <alignment horizontal="right" wrapText="1"/>
    </xf>
    <xf numFmtId="0" fontId="3" fillId="0" borderId="12" xfId="0" applyFont="1" applyBorder="1" applyAlignment="1">
      <alignment horizontal="left"/>
    </xf>
    <xf numFmtId="0" fontId="0" fillId="0" borderId="0" xfId="0" applyBorder="1" applyAlignment="1">
      <alignment horizontal="right" wrapText="1"/>
    </xf>
    <xf numFmtId="0" fontId="3" fillId="0" borderId="12" xfId="0" applyFont="1" applyBorder="1" applyAlignment="1">
      <alignment/>
    </xf>
    <xf numFmtId="0" fontId="3" fillId="0" borderId="12" xfId="0" applyFont="1" applyBorder="1" applyAlignment="1">
      <alignment wrapText="1"/>
    </xf>
    <xf numFmtId="3" fontId="3" fillId="0" borderId="12" xfId="0" applyNumberFormat="1" applyFont="1" applyBorder="1" applyAlignment="1">
      <alignment/>
    </xf>
    <xf numFmtId="0" fontId="7" fillId="0" borderId="0" xfId="0" applyFont="1" applyAlignment="1">
      <alignment horizontal="left"/>
    </xf>
    <xf numFmtId="3" fontId="10" fillId="0" borderId="0" xfId="0" applyNumberFormat="1" applyFont="1" applyAlignment="1">
      <alignment horizontal="right"/>
    </xf>
    <xf numFmtId="3" fontId="10" fillId="0" borderId="10" xfId="0" applyNumberFormat="1" applyFont="1" applyBorder="1" applyAlignment="1">
      <alignment/>
    </xf>
    <xf numFmtId="3" fontId="13" fillId="0" borderId="0" xfId="0" applyNumberFormat="1" applyFont="1" applyAlignment="1">
      <alignment/>
    </xf>
    <xf numFmtId="3" fontId="13" fillId="0" borderId="0" xfId="0" applyNumberFormat="1" applyFont="1" applyBorder="1" applyAlignment="1">
      <alignment/>
    </xf>
    <xf numFmtId="3" fontId="14" fillId="0" borderId="0" xfId="0" applyNumberFormat="1" applyFont="1" applyAlignment="1">
      <alignment horizontal="right"/>
    </xf>
    <xf numFmtId="3" fontId="13" fillId="0" borderId="10" xfId="0" applyNumberFormat="1" applyFont="1" applyBorder="1" applyAlignment="1">
      <alignment/>
    </xf>
    <xf numFmtId="0" fontId="3" fillId="0" borderId="12" xfId="0" applyFont="1" applyBorder="1" applyAlignment="1">
      <alignment/>
    </xf>
    <xf numFmtId="0" fontId="4" fillId="0" borderId="10" xfId="0" applyFont="1" applyBorder="1" applyAlignment="1">
      <alignment horizontal="left" wrapText="1"/>
    </xf>
    <xf numFmtId="165" fontId="13" fillId="0" borderId="0" xfId="0" applyNumberFormat="1" applyFont="1" applyAlignment="1">
      <alignment/>
    </xf>
    <xf numFmtId="164" fontId="13" fillId="0" borderId="0" xfId="0" applyNumberFormat="1" applyFont="1" applyAlignment="1">
      <alignment/>
    </xf>
    <xf numFmtId="0" fontId="15" fillId="0" borderId="0" xfId="0" applyFont="1" applyAlignment="1">
      <alignment/>
    </xf>
    <xf numFmtId="3" fontId="13" fillId="0" borderId="0" xfId="0" applyNumberFormat="1" applyFont="1" applyAlignment="1">
      <alignment horizontal="right"/>
    </xf>
    <xf numFmtId="3" fontId="7" fillId="0" borderId="0" xfId="0" applyNumberFormat="1" applyFont="1" applyAlignment="1">
      <alignment horizontal="right"/>
    </xf>
    <xf numFmtId="3" fontId="8" fillId="0" borderId="0" xfId="0" applyNumberFormat="1" applyFont="1" applyAlignment="1">
      <alignment horizontal="right" wrapText="1"/>
    </xf>
    <xf numFmtId="0" fontId="8" fillId="0" borderId="0" xfId="0" applyFont="1" applyAlignment="1">
      <alignment horizontal="right" wrapText="1"/>
    </xf>
    <xf numFmtId="3" fontId="3" fillId="0" borderId="10" xfId="0" applyNumberFormat="1" applyFont="1" applyBorder="1" applyAlignment="1">
      <alignment horizontal="right"/>
    </xf>
    <xf numFmtId="3" fontId="13" fillId="0" borderId="0" xfId="0" applyNumberFormat="1" applyFont="1" applyBorder="1" applyAlignment="1">
      <alignment horizontal="right"/>
    </xf>
    <xf numFmtId="0" fontId="0" fillId="0" borderId="0" xfId="0" applyFont="1" applyAlignment="1">
      <alignment/>
    </xf>
    <xf numFmtId="3" fontId="14" fillId="0" borderId="0" xfId="0" applyNumberFormat="1" applyFont="1" applyBorder="1" applyAlignment="1">
      <alignment/>
    </xf>
    <xf numFmtId="165" fontId="13" fillId="0" borderId="0" xfId="0" applyNumberFormat="1" applyFont="1" applyAlignment="1">
      <alignment horizontal="right"/>
    </xf>
    <xf numFmtId="164" fontId="13" fillId="0" borderId="0" xfId="0" applyNumberFormat="1" applyFont="1" applyAlignment="1">
      <alignment horizontal="right"/>
    </xf>
    <xf numFmtId="0" fontId="7" fillId="0" borderId="0" xfId="0" applyFont="1" applyBorder="1" applyAlignment="1">
      <alignment/>
    </xf>
    <xf numFmtId="3" fontId="7" fillId="0" borderId="0" xfId="0" applyNumberFormat="1" applyFont="1" applyBorder="1" applyAlignment="1">
      <alignment/>
    </xf>
    <xf numFmtId="0" fontId="7" fillId="0" borderId="0" xfId="0" applyFont="1" applyAlignment="1">
      <alignment wrapText="1"/>
    </xf>
    <xf numFmtId="3" fontId="18" fillId="0" borderId="0" xfId="0" applyNumberFormat="1" applyFont="1" applyAlignment="1">
      <alignment/>
    </xf>
    <xf numFmtId="3" fontId="7" fillId="0" borderId="0" xfId="0" applyNumberFormat="1" applyFont="1" applyAlignment="1">
      <alignment/>
    </xf>
    <xf numFmtId="0" fontId="10" fillId="0" borderId="0" xfId="0" applyFont="1" applyAlignment="1">
      <alignment/>
    </xf>
    <xf numFmtId="3" fontId="14" fillId="0" borderId="0" xfId="0" applyNumberFormat="1" applyFont="1" applyAlignment="1">
      <alignment/>
    </xf>
    <xf numFmtId="3" fontId="9" fillId="0" borderId="0" xfId="0" applyNumberFormat="1" applyFont="1" applyBorder="1" applyAlignment="1">
      <alignment/>
    </xf>
    <xf numFmtId="3" fontId="18" fillId="0" borderId="0" xfId="0" applyNumberFormat="1" applyFont="1" applyBorder="1" applyAlignment="1">
      <alignment/>
    </xf>
    <xf numFmtId="165" fontId="7" fillId="0" borderId="0" xfId="0" applyNumberFormat="1" applyFont="1" applyAlignment="1">
      <alignment/>
    </xf>
    <xf numFmtId="165" fontId="7" fillId="0" borderId="0" xfId="0" applyNumberFormat="1" applyFont="1" applyBorder="1" applyAlignment="1">
      <alignment/>
    </xf>
    <xf numFmtId="164" fontId="7" fillId="0" borderId="0" xfId="0" applyNumberFormat="1" applyFont="1" applyAlignment="1">
      <alignment/>
    </xf>
    <xf numFmtId="165" fontId="14" fillId="0" borderId="0" xfId="0" applyNumberFormat="1" applyFont="1" applyAlignment="1">
      <alignment horizontal="right"/>
    </xf>
    <xf numFmtId="165" fontId="3" fillId="0" borderId="0" xfId="0" applyNumberFormat="1" applyFont="1" applyAlignment="1">
      <alignment horizontal="right"/>
    </xf>
    <xf numFmtId="0" fontId="3" fillId="0" borderId="11" xfId="0" applyFont="1" applyBorder="1" applyAlignment="1">
      <alignment wrapText="1"/>
    </xf>
    <xf numFmtId="0" fontId="3" fillId="0" borderId="12" xfId="0" applyFont="1" applyBorder="1" applyAlignment="1">
      <alignment horizontal="left" wrapText="1"/>
    </xf>
    <xf numFmtId="164" fontId="3" fillId="0" borderId="0" xfId="0" applyNumberFormat="1" applyFont="1" applyAlignment="1">
      <alignment horizontal="right"/>
    </xf>
    <xf numFmtId="164" fontId="3" fillId="0" borderId="0" xfId="0" applyNumberFormat="1" applyFont="1" applyAlignment="1">
      <alignment/>
    </xf>
    <xf numFmtId="165" fontId="7" fillId="0" borderId="0" xfId="0" applyNumberFormat="1" applyFont="1" applyAlignment="1">
      <alignment horizontal="right"/>
    </xf>
    <xf numFmtId="0" fontId="3" fillId="0" borderId="11" xfId="0" applyFont="1" applyBorder="1" applyAlignment="1">
      <alignment/>
    </xf>
    <xf numFmtId="0" fontId="3" fillId="0" borderId="11" xfId="0" applyFont="1" applyBorder="1" applyAlignment="1">
      <alignment/>
    </xf>
    <xf numFmtId="0" fontId="3" fillId="0" borderId="10" xfId="0" applyFont="1" applyBorder="1" applyAlignment="1">
      <alignment horizontal="right"/>
    </xf>
    <xf numFmtId="0" fontId="3" fillId="0" borderId="0" xfId="0" applyFont="1" applyAlignment="1">
      <alignment horizontal="right"/>
    </xf>
    <xf numFmtId="0" fontId="3" fillId="0" borderId="10" xfId="0" applyFont="1" applyBorder="1" applyAlignment="1">
      <alignment horizontal="left"/>
    </xf>
    <xf numFmtId="164" fontId="3" fillId="0" borderId="0" xfId="0" applyNumberFormat="1" applyFont="1" applyBorder="1" applyAlignment="1">
      <alignment/>
    </xf>
    <xf numFmtId="164" fontId="3" fillId="0" borderId="10" xfId="0" applyNumberFormat="1" applyFont="1" applyBorder="1" applyAlignment="1">
      <alignment/>
    </xf>
    <xf numFmtId="3" fontId="3" fillId="0" borderId="0" xfId="0" applyNumberFormat="1" applyFont="1" applyBorder="1" applyAlignment="1">
      <alignment wrapText="1"/>
    </xf>
    <xf numFmtId="0" fontId="7" fillId="0" borderId="0" xfId="0" applyFont="1" applyAlignment="1">
      <alignment horizontal="left" indent="1"/>
    </xf>
    <xf numFmtId="165" fontId="3" fillId="0" borderId="0" xfId="0" applyNumberFormat="1" applyFont="1" applyBorder="1" applyAlignment="1">
      <alignment/>
    </xf>
    <xf numFmtId="0" fontId="7" fillId="0" borderId="0" xfId="0" applyFont="1" applyBorder="1" applyAlignment="1">
      <alignment horizontal="left" indent="1"/>
    </xf>
    <xf numFmtId="165" fontId="3" fillId="0" borderId="10" xfId="0" applyNumberFormat="1" applyFont="1" applyBorder="1" applyAlignment="1">
      <alignment/>
    </xf>
    <xf numFmtId="0" fontId="3" fillId="0" borderId="0" xfId="0" applyFont="1" applyBorder="1" applyAlignment="1">
      <alignment horizontal="left" wrapText="1"/>
    </xf>
    <xf numFmtId="0" fontId="4" fillId="0" borderId="10" xfId="0" applyFont="1" applyBorder="1" applyAlignment="1">
      <alignment horizontal="right" wrapText="1"/>
    </xf>
    <xf numFmtId="0" fontId="3" fillId="0" borderId="11" xfId="0" applyFont="1" applyBorder="1" applyAlignment="1">
      <alignment horizontal="left" wrapText="1"/>
    </xf>
    <xf numFmtId="0" fontId="8" fillId="0" borderId="0" xfId="0" applyFont="1" applyBorder="1" applyAlignment="1">
      <alignment horizontal="right"/>
    </xf>
    <xf numFmtId="3" fontId="13" fillId="0" borderId="0" xfId="0" applyNumberFormat="1" applyFont="1" applyFill="1" applyBorder="1" applyAlignment="1">
      <alignment/>
    </xf>
    <xf numFmtId="3" fontId="3" fillId="0" borderId="0" xfId="0" applyNumberFormat="1" applyFont="1" applyFill="1" applyBorder="1" applyAlignment="1">
      <alignment/>
    </xf>
    <xf numFmtId="3" fontId="3" fillId="0" borderId="0" xfId="0" applyNumberFormat="1" applyFont="1" applyFill="1" applyBorder="1" applyAlignment="1">
      <alignment horizontal="right"/>
    </xf>
    <xf numFmtId="3" fontId="7" fillId="0" borderId="0" xfId="0" applyNumberFormat="1" applyFont="1" applyBorder="1" applyAlignment="1">
      <alignment horizontal="right"/>
    </xf>
    <xf numFmtId="3" fontId="14" fillId="0" borderId="0" xfId="0" applyNumberFormat="1" applyFont="1" applyBorder="1" applyAlignment="1">
      <alignment horizontal="right"/>
    </xf>
    <xf numFmtId="3" fontId="3" fillId="0" borderId="0" xfId="33" applyNumberFormat="1" applyFont="1" applyFill="1" applyBorder="1" applyAlignment="1">
      <alignment/>
    </xf>
    <xf numFmtId="3" fontId="13" fillId="0" borderId="0" xfId="33" applyNumberFormat="1" applyFont="1" applyFill="1" applyBorder="1" applyAlignment="1">
      <alignment/>
    </xf>
    <xf numFmtId="3" fontId="3" fillId="0" borderId="0" xfId="33" applyNumberFormat="1" applyFont="1" applyFill="1" applyBorder="1" applyAlignment="1">
      <alignment horizontal="right"/>
    </xf>
    <xf numFmtId="0" fontId="13" fillId="0" borderId="0" xfId="0" applyFont="1" applyBorder="1" applyAlignment="1">
      <alignment/>
    </xf>
    <xf numFmtId="0" fontId="15" fillId="0" borderId="0" xfId="0" applyFont="1" applyBorder="1" applyAlignment="1">
      <alignment/>
    </xf>
    <xf numFmtId="3" fontId="13" fillId="0" borderId="0" xfId="0" applyNumberFormat="1" applyFont="1" applyFill="1" applyBorder="1" applyAlignment="1">
      <alignment horizontal="right"/>
    </xf>
    <xf numFmtId="3" fontId="14" fillId="0" borderId="0" xfId="0" applyNumberFormat="1" applyFont="1" applyFill="1" applyBorder="1" applyAlignment="1">
      <alignment/>
    </xf>
    <xf numFmtId="3" fontId="7" fillId="0" borderId="0" xfId="0" applyNumberFormat="1" applyFont="1" applyFill="1" applyBorder="1" applyAlignment="1">
      <alignment/>
    </xf>
    <xf numFmtId="0" fontId="13" fillId="0" borderId="0" xfId="0" applyFont="1" applyFill="1" applyBorder="1" applyAlignment="1">
      <alignment/>
    </xf>
    <xf numFmtId="0" fontId="3" fillId="0" borderId="0" xfId="0" applyFont="1" applyFill="1" applyBorder="1" applyAlignment="1">
      <alignment/>
    </xf>
    <xf numFmtId="0" fontId="15" fillId="0" borderId="0" xfId="0" applyFont="1" applyFill="1" applyBorder="1" applyAlignment="1">
      <alignment/>
    </xf>
    <xf numFmtId="3" fontId="7"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3" fillId="0" borderId="11" xfId="0" applyFont="1" applyBorder="1" applyAlignment="1">
      <alignment horizontal="right" wrapText="1"/>
    </xf>
    <xf numFmtId="0" fontId="3" fillId="0" borderId="10" xfId="0" applyFont="1" applyBorder="1" applyAlignment="1">
      <alignment horizontal="right"/>
    </xf>
    <xf numFmtId="0" fontId="3" fillId="0" borderId="12" xfId="0" applyFont="1" applyBorder="1" applyAlignment="1">
      <alignment/>
    </xf>
    <xf numFmtId="0" fontId="8" fillId="0" borderId="0" xfId="0" applyFont="1" applyBorder="1" applyAlignment="1">
      <alignment wrapText="1"/>
    </xf>
    <xf numFmtId="0" fontId="0" fillId="0" borderId="0" xfId="0" applyBorder="1" applyAlignment="1">
      <alignment wrapText="1"/>
    </xf>
    <xf numFmtId="0" fontId="3" fillId="0" borderId="11" xfId="0" applyFont="1" applyBorder="1" applyAlignment="1">
      <alignment wrapText="1"/>
    </xf>
    <xf numFmtId="0" fontId="0" fillId="0" borderId="0" xfId="0" applyBorder="1" applyAlignment="1">
      <alignment/>
    </xf>
    <xf numFmtId="0" fontId="11" fillId="0" borderId="0" xfId="0" applyFont="1" applyAlignment="1">
      <alignment/>
    </xf>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0" borderId="10" xfId="0" applyFont="1" applyBorder="1" applyAlignment="1">
      <alignment wrapText="1"/>
    </xf>
    <xf numFmtId="0" fontId="0" fillId="0" borderId="10" xfId="0" applyBorder="1" applyAlignment="1">
      <alignment wrapText="1"/>
    </xf>
    <xf numFmtId="0" fontId="8" fillId="0" borderId="0" xfId="0" applyFont="1" applyAlignment="1">
      <alignment/>
    </xf>
    <xf numFmtId="0" fontId="8" fillId="0" borderId="12" xfId="0" applyFont="1" applyBorder="1" applyAlignment="1">
      <alignment/>
    </xf>
    <xf numFmtId="0" fontId="3" fillId="0" borderId="12" xfId="0" applyFont="1" applyBorder="1" applyAlignment="1">
      <alignment horizontal="left" wrapText="1"/>
    </xf>
    <xf numFmtId="0" fontId="3" fillId="0" borderId="12" xfId="0" applyFont="1" applyBorder="1" applyAlignment="1">
      <alignment horizontal="left"/>
    </xf>
    <xf numFmtId="0" fontId="3" fillId="0" borderId="12" xfId="0" applyFont="1" applyBorder="1" applyAlignment="1">
      <alignment wrapText="1"/>
    </xf>
    <xf numFmtId="0" fontId="0" fillId="0" borderId="12" xfId="0" applyBorder="1" applyAlignment="1">
      <alignment/>
    </xf>
    <xf numFmtId="0" fontId="8" fillId="0" borderId="11" xfId="0" applyFont="1" applyBorder="1" applyAlignment="1">
      <alignment wrapText="1"/>
    </xf>
    <xf numFmtId="0" fontId="0" fillId="0" borderId="11" xfId="0" applyBorder="1" applyAlignment="1">
      <alignment wrapText="1"/>
    </xf>
    <xf numFmtId="0" fontId="0" fillId="0" borderId="12" xfId="0" applyBorder="1" applyAlignment="1">
      <alignment horizontal="left"/>
    </xf>
    <xf numFmtId="0" fontId="2" fillId="0" borderId="0" xfId="0" applyFont="1" applyBorder="1" applyAlignment="1">
      <alignment wrapText="1"/>
    </xf>
    <xf numFmtId="0" fontId="0" fillId="0" borderId="10" xfId="0" applyBorder="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1</xdr:col>
      <xdr:colOff>0</xdr:colOff>
      <xdr:row>25</xdr:row>
      <xdr:rowOff>276225</xdr:rowOff>
    </xdr:to>
    <xdr:pic>
      <xdr:nvPicPr>
        <xdr:cNvPr id="1" name="Picture 1"/>
        <xdr:cNvPicPr preferRelativeResize="1">
          <a:picLocks noChangeAspect="1"/>
        </xdr:cNvPicPr>
      </xdr:nvPicPr>
      <xdr:blipFill>
        <a:blip r:embed="rId1"/>
        <a:stretch>
          <a:fillRect/>
        </a:stretch>
      </xdr:blipFill>
      <xdr:spPr>
        <a:xfrm>
          <a:off x="0" y="5267325"/>
          <a:ext cx="1428750" cy="238125"/>
        </a:xfrm>
        <a:prstGeom prst="rect">
          <a:avLst/>
        </a:prstGeom>
        <a:noFill/>
        <a:ln w="9525" cmpd="sng">
          <a:noFill/>
        </a:ln>
      </xdr:spPr>
    </xdr:pic>
    <xdr:clientData/>
  </xdr:twoCellAnchor>
  <xdr:twoCellAnchor editAs="oneCell">
    <xdr:from>
      <xdr:col>0</xdr:col>
      <xdr:colOff>0</xdr:colOff>
      <xdr:row>40</xdr:row>
      <xdr:rowOff>28575</xdr:rowOff>
    </xdr:from>
    <xdr:to>
      <xdr:col>0</xdr:col>
      <xdr:colOff>1419225</xdr:colOff>
      <xdr:row>40</xdr:row>
      <xdr:rowOff>276225</xdr:rowOff>
    </xdr:to>
    <xdr:pic>
      <xdr:nvPicPr>
        <xdr:cNvPr id="2" name="Picture 2"/>
        <xdr:cNvPicPr preferRelativeResize="1">
          <a:picLocks noChangeAspect="1"/>
        </xdr:cNvPicPr>
      </xdr:nvPicPr>
      <xdr:blipFill>
        <a:blip r:embed="rId1"/>
        <a:stretch>
          <a:fillRect/>
        </a:stretch>
      </xdr:blipFill>
      <xdr:spPr>
        <a:xfrm>
          <a:off x="0" y="9010650"/>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28575</xdr:rowOff>
    </xdr:from>
    <xdr:to>
      <xdr:col>2</xdr:col>
      <xdr:colOff>0</xdr:colOff>
      <xdr:row>40</xdr:row>
      <xdr:rowOff>266700</xdr:rowOff>
    </xdr:to>
    <xdr:pic>
      <xdr:nvPicPr>
        <xdr:cNvPr id="1" name="Picture 5"/>
        <xdr:cNvPicPr preferRelativeResize="1">
          <a:picLocks noChangeAspect="1"/>
        </xdr:cNvPicPr>
      </xdr:nvPicPr>
      <xdr:blipFill>
        <a:blip r:embed="rId1"/>
        <a:stretch>
          <a:fillRect/>
        </a:stretch>
      </xdr:blipFill>
      <xdr:spPr>
        <a:xfrm>
          <a:off x="0" y="7648575"/>
          <a:ext cx="13716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38100</xdr:rowOff>
    </xdr:from>
    <xdr:to>
      <xdr:col>1</xdr:col>
      <xdr:colOff>619125</xdr:colOff>
      <xdr:row>37</xdr:row>
      <xdr:rowOff>276225</xdr:rowOff>
    </xdr:to>
    <xdr:pic>
      <xdr:nvPicPr>
        <xdr:cNvPr id="1" name="Picture 5"/>
        <xdr:cNvPicPr preferRelativeResize="1">
          <a:picLocks noChangeAspect="1"/>
        </xdr:cNvPicPr>
      </xdr:nvPicPr>
      <xdr:blipFill>
        <a:blip r:embed="rId1"/>
        <a:stretch>
          <a:fillRect/>
        </a:stretch>
      </xdr:blipFill>
      <xdr:spPr>
        <a:xfrm>
          <a:off x="0" y="7143750"/>
          <a:ext cx="1371600"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191125"/>
          <a:ext cx="1371600"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219700"/>
          <a:ext cx="1371600"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4"/>
        <xdr:cNvPicPr preferRelativeResize="1">
          <a:picLocks noChangeAspect="1"/>
        </xdr:cNvPicPr>
      </xdr:nvPicPr>
      <xdr:blipFill>
        <a:blip r:embed="rId1"/>
        <a:stretch>
          <a:fillRect/>
        </a:stretch>
      </xdr:blipFill>
      <xdr:spPr>
        <a:xfrm>
          <a:off x="0" y="5362575"/>
          <a:ext cx="1371600" cy="238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390525</xdr:colOff>
      <xdr:row>35</xdr:row>
      <xdr:rowOff>266700</xdr:rowOff>
    </xdr:to>
    <xdr:pic>
      <xdr:nvPicPr>
        <xdr:cNvPr id="1" name="Picture 5"/>
        <xdr:cNvPicPr preferRelativeResize="1">
          <a:picLocks noChangeAspect="1"/>
        </xdr:cNvPicPr>
      </xdr:nvPicPr>
      <xdr:blipFill>
        <a:blip r:embed="rId1"/>
        <a:stretch>
          <a:fillRect/>
        </a:stretch>
      </xdr:blipFill>
      <xdr:spPr>
        <a:xfrm>
          <a:off x="0" y="7334250"/>
          <a:ext cx="1438275" cy="238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0</xdr:col>
      <xdr:colOff>1409700</xdr:colOff>
      <xdr:row>35</xdr:row>
      <xdr:rowOff>266700</xdr:rowOff>
    </xdr:to>
    <xdr:pic>
      <xdr:nvPicPr>
        <xdr:cNvPr id="1" name="Picture 5"/>
        <xdr:cNvPicPr preferRelativeResize="1">
          <a:picLocks noChangeAspect="1"/>
        </xdr:cNvPicPr>
      </xdr:nvPicPr>
      <xdr:blipFill>
        <a:blip r:embed="rId1"/>
        <a:stretch>
          <a:fillRect/>
        </a:stretch>
      </xdr:blipFill>
      <xdr:spPr>
        <a:xfrm>
          <a:off x="0" y="7048500"/>
          <a:ext cx="1409700" cy="238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38100</xdr:rowOff>
    </xdr:from>
    <xdr:to>
      <xdr:col>1</xdr:col>
      <xdr:colOff>0</xdr:colOff>
      <xdr:row>35</xdr:row>
      <xdr:rowOff>276225</xdr:rowOff>
    </xdr:to>
    <xdr:pic>
      <xdr:nvPicPr>
        <xdr:cNvPr id="1" name="Picture 5"/>
        <xdr:cNvPicPr preferRelativeResize="1">
          <a:picLocks noChangeAspect="1"/>
        </xdr:cNvPicPr>
      </xdr:nvPicPr>
      <xdr:blipFill>
        <a:blip r:embed="rId1"/>
        <a:stretch>
          <a:fillRect/>
        </a:stretch>
      </xdr:blipFill>
      <xdr:spPr>
        <a:xfrm>
          <a:off x="0" y="6819900"/>
          <a:ext cx="1428750" cy="2381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28575</xdr:colOff>
      <xdr:row>35</xdr:row>
      <xdr:rowOff>276225</xdr:rowOff>
    </xdr:to>
    <xdr:pic>
      <xdr:nvPicPr>
        <xdr:cNvPr id="1" name="Picture 7"/>
        <xdr:cNvPicPr preferRelativeResize="1">
          <a:picLocks noChangeAspect="1"/>
        </xdr:cNvPicPr>
      </xdr:nvPicPr>
      <xdr:blipFill>
        <a:blip r:embed="rId1"/>
        <a:stretch>
          <a:fillRect/>
        </a:stretch>
      </xdr:blipFill>
      <xdr:spPr>
        <a:xfrm>
          <a:off x="0" y="7067550"/>
          <a:ext cx="14573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28575</xdr:rowOff>
    </xdr:from>
    <xdr:to>
      <xdr:col>1</xdr:col>
      <xdr:colOff>0</xdr:colOff>
      <xdr:row>25</xdr:row>
      <xdr:rowOff>276225</xdr:rowOff>
    </xdr:to>
    <xdr:pic>
      <xdr:nvPicPr>
        <xdr:cNvPr id="1" name="Picture 6"/>
        <xdr:cNvPicPr preferRelativeResize="1">
          <a:picLocks noChangeAspect="1"/>
        </xdr:cNvPicPr>
      </xdr:nvPicPr>
      <xdr:blipFill>
        <a:blip r:embed="rId1"/>
        <a:stretch>
          <a:fillRect/>
        </a:stretch>
      </xdr:blipFill>
      <xdr:spPr>
        <a:xfrm>
          <a:off x="0" y="5029200"/>
          <a:ext cx="14287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38100</xdr:rowOff>
    </xdr:from>
    <xdr:to>
      <xdr:col>0</xdr:col>
      <xdr:colOff>1419225</xdr:colOff>
      <xdr:row>22</xdr:row>
      <xdr:rowOff>276225</xdr:rowOff>
    </xdr:to>
    <xdr:pic>
      <xdr:nvPicPr>
        <xdr:cNvPr id="1" name="Picture 5"/>
        <xdr:cNvPicPr preferRelativeResize="1">
          <a:picLocks noChangeAspect="1"/>
        </xdr:cNvPicPr>
      </xdr:nvPicPr>
      <xdr:blipFill>
        <a:blip r:embed="rId1"/>
        <a:stretch>
          <a:fillRect/>
        </a:stretch>
      </xdr:blipFill>
      <xdr:spPr>
        <a:xfrm>
          <a:off x="0" y="4362450"/>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38100</xdr:rowOff>
    </xdr:from>
    <xdr:to>
      <xdr:col>0</xdr:col>
      <xdr:colOff>1419225</xdr:colOff>
      <xdr:row>22</xdr:row>
      <xdr:rowOff>276225</xdr:rowOff>
    </xdr:to>
    <xdr:pic>
      <xdr:nvPicPr>
        <xdr:cNvPr id="1" name="Picture 6"/>
        <xdr:cNvPicPr preferRelativeResize="1">
          <a:picLocks noChangeAspect="1"/>
        </xdr:cNvPicPr>
      </xdr:nvPicPr>
      <xdr:blipFill>
        <a:blip r:embed="rId1"/>
        <a:stretch>
          <a:fillRect/>
        </a:stretch>
      </xdr:blipFill>
      <xdr:spPr>
        <a:xfrm>
          <a:off x="0" y="4295775"/>
          <a:ext cx="14192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28575</xdr:rowOff>
    </xdr:from>
    <xdr:to>
      <xdr:col>1</xdr:col>
      <xdr:colOff>0</xdr:colOff>
      <xdr:row>16</xdr:row>
      <xdr:rowOff>276225</xdr:rowOff>
    </xdr:to>
    <xdr:pic>
      <xdr:nvPicPr>
        <xdr:cNvPr id="1" name="Picture 6"/>
        <xdr:cNvPicPr preferRelativeResize="1">
          <a:picLocks noChangeAspect="1"/>
        </xdr:cNvPicPr>
      </xdr:nvPicPr>
      <xdr:blipFill>
        <a:blip r:embed="rId1"/>
        <a:stretch>
          <a:fillRect/>
        </a:stretch>
      </xdr:blipFill>
      <xdr:spPr>
        <a:xfrm>
          <a:off x="0" y="3333750"/>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38100</xdr:rowOff>
    </xdr:from>
    <xdr:to>
      <xdr:col>0</xdr:col>
      <xdr:colOff>1419225</xdr:colOff>
      <xdr:row>23</xdr:row>
      <xdr:rowOff>276225</xdr:rowOff>
    </xdr:to>
    <xdr:pic>
      <xdr:nvPicPr>
        <xdr:cNvPr id="1" name="Picture 6"/>
        <xdr:cNvPicPr preferRelativeResize="1">
          <a:picLocks noChangeAspect="1"/>
        </xdr:cNvPicPr>
      </xdr:nvPicPr>
      <xdr:blipFill>
        <a:blip r:embed="rId1"/>
        <a:stretch>
          <a:fillRect/>
        </a:stretch>
      </xdr:blipFill>
      <xdr:spPr>
        <a:xfrm>
          <a:off x="0" y="5295900"/>
          <a:ext cx="1419225"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23</xdr:row>
      <xdr:rowOff>28575</xdr:rowOff>
    </xdr:from>
    <xdr:to>
      <xdr:col>0</xdr:col>
      <xdr:colOff>1419225</xdr:colOff>
      <xdr:row>23</xdr:row>
      <xdr:rowOff>276225</xdr:rowOff>
    </xdr:to>
    <xdr:pic>
      <xdr:nvPicPr>
        <xdr:cNvPr id="1" name="Picture 5"/>
        <xdr:cNvPicPr preferRelativeResize="1">
          <a:picLocks noChangeAspect="1"/>
        </xdr:cNvPicPr>
      </xdr:nvPicPr>
      <xdr:blipFill>
        <a:blip r:embed="rId1"/>
        <a:stretch>
          <a:fillRect/>
        </a:stretch>
      </xdr:blipFill>
      <xdr:spPr>
        <a:xfrm>
          <a:off x="9525" y="5410200"/>
          <a:ext cx="14097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28575</xdr:rowOff>
    </xdr:from>
    <xdr:to>
      <xdr:col>1</xdr:col>
      <xdr:colOff>0</xdr:colOff>
      <xdr:row>23</xdr:row>
      <xdr:rowOff>276225</xdr:rowOff>
    </xdr:to>
    <xdr:pic>
      <xdr:nvPicPr>
        <xdr:cNvPr id="1" name="Picture 5"/>
        <xdr:cNvPicPr preferRelativeResize="1">
          <a:picLocks noChangeAspect="1"/>
        </xdr:cNvPicPr>
      </xdr:nvPicPr>
      <xdr:blipFill>
        <a:blip r:embed="rId1"/>
        <a:stretch>
          <a:fillRect/>
        </a:stretch>
      </xdr:blipFill>
      <xdr:spPr>
        <a:xfrm>
          <a:off x="0" y="5400675"/>
          <a:ext cx="142875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38100</xdr:rowOff>
    </xdr:from>
    <xdr:to>
      <xdr:col>2</xdr:col>
      <xdr:colOff>0</xdr:colOff>
      <xdr:row>40</xdr:row>
      <xdr:rowOff>276225</xdr:rowOff>
    </xdr:to>
    <xdr:pic>
      <xdr:nvPicPr>
        <xdr:cNvPr id="1" name="Picture 5"/>
        <xdr:cNvPicPr preferRelativeResize="1">
          <a:picLocks noChangeAspect="1"/>
        </xdr:cNvPicPr>
      </xdr:nvPicPr>
      <xdr:blipFill>
        <a:blip r:embed="rId1"/>
        <a:stretch>
          <a:fillRect/>
        </a:stretch>
      </xdr:blipFill>
      <xdr:spPr>
        <a:xfrm>
          <a:off x="0" y="7686675"/>
          <a:ext cx="1371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1.7109375" style="0" customWidth="1"/>
    <col min="6" max="6" width="9.57421875" style="0" customWidth="1"/>
    <col min="7" max="7" width="10.140625" style="0" customWidth="1"/>
    <col min="9" max="9" width="1.7109375" style="0" customWidth="1"/>
    <col min="10" max="10" width="11.421875" style="0" customWidth="1"/>
  </cols>
  <sheetData>
    <row r="1" ht="15.75" customHeight="1">
      <c r="A1" s="27" t="s">
        <v>110</v>
      </c>
    </row>
    <row r="2" spans="1:8" ht="20.25" customHeight="1">
      <c r="A2" s="171" t="s">
        <v>146</v>
      </c>
      <c r="B2" s="172"/>
      <c r="C2" s="172"/>
      <c r="D2" s="172"/>
      <c r="E2" s="172"/>
      <c r="F2" s="172"/>
      <c r="G2" s="172"/>
      <c r="H2" s="172"/>
    </row>
    <row r="4" spans="1:10" ht="26.25" customHeight="1">
      <c r="A4" s="173" t="s">
        <v>111</v>
      </c>
      <c r="B4" s="174"/>
      <c r="C4" s="174"/>
      <c r="D4" s="174"/>
      <c r="E4" s="174"/>
      <c r="F4" s="174"/>
      <c r="G4" s="174"/>
      <c r="H4" s="174"/>
      <c r="I4" s="174"/>
      <c r="J4" s="174"/>
    </row>
    <row r="5" spans="1:10" ht="7.5" customHeight="1">
      <c r="A5" s="75"/>
      <c r="B5" s="76"/>
      <c r="C5" s="76"/>
      <c r="D5" s="76"/>
      <c r="E5" s="76"/>
      <c r="F5" s="76"/>
      <c r="G5" s="76"/>
      <c r="H5" s="76"/>
      <c r="I5" s="76"/>
      <c r="J5" s="76"/>
    </row>
    <row r="6" spans="1:12" ht="26.25" customHeight="1">
      <c r="A6" s="175" t="s">
        <v>147</v>
      </c>
      <c r="B6" s="176"/>
      <c r="C6" s="176"/>
      <c r="D6" s="176"/>
      <c r="E6" s="176"/>
      <c r="F6" s="176"/>
      <c r="G6" s="176"/>
      <c r="H6" s="176"/>
      <c r="I6" s="176"/>
      <c r="J6" s="176"/>
      <c r="K6" s="23"/>
      <c r="L6" s="23"/>
    </row>
    <row r="7" spans="1:10" ht="22.5" customHeight="1">
      <c r="A7" s="125" t="s">
        <v>0</v>
      </c>
      <c r="B7" s="130" t="s">
        <v>41</v>
      </c>
      <c r="C7" s="130"/>
      <c r="D7" s="164" t="s">
        <v>188</v>
      </c>
      <c r="E7" s="82"/>
      <c r="F7" s="166" t="s">
        <v>1</v>
      </c>
      <c r="G7" s="166"/>
      <c r="H7" s="166"/>
      <c r="I7" s="131"/>
      <c r="J7" s="164" t="s">
        <v>2</v>
      </c>
    </row>
    <row r="8" spans="1:10" ht="21.75" customHeight="1">
      <c r="A8" s="2"/>
      <c r="B8" s="2"/>
      <c r="C8" s="2"/>
      <c r="D8" s="165"/>
      <c r="E8" s="132"/>
      <c r="F8" s="132" t="s">
        <v>3</v>
      </c>
      <c r="G8" s="132" t="s">
        <v>189</v>
      </c>
      <c r="H8" s="10" t="s">
        <v>4</v>
      </c>
      <c r="I8" s="10"/>
      <c r="J8" s="165"/>
    </row>
    <row r="9" spans="1:10" ht="18.75" customHeight="1">
      <c r="A9" s="1" t="s">
        <v>5</v>
      </c>
      <c r="B9" s="3">
        <v>1991</v>
      </c>
      <c r="C9" s="3"/>
      <c r="D9" s="65" t="s">
        <v>190</v>
      </c>
      <c r="E9" s="65"/>
      <c r="F9" s="4">
        <v>8579</v>
      </c>
      <c r="G9" s="4">
        <v>20401</v>
      </c>
      <c r="H9" s="4">
        <v>28980</v>
      </c>
      <c r="I9" s="4"/>
      <c r="J9" s="1">
        <v>29.5</v>
      </c>
    </row>
    <row r="10" spans="1:10" ht="15" customHeight="1">
      <c r="A10" s="1" t="s">
        <v>5</v>
      </c>
      <c r="B10" s="3">
        <v>1992</v>
      </c>
      <c r="C10" s="3"/>
      <c r="D10" s="65" t="s">
        <v>191</v>
      </c>
      <c r="E10" s="65"/>
      <c r="F10" s="4">
        <v>8978</v>
      </c>
      <c r="G10" s="4">
        <v>21352</v>
      </c>
      <c r="H10" s="4">
        <v>30330</v>
      </c>
      <c r="I10" s="4"/>
      <c r="J10" s="1">
        <v>29.5</v>
      </c>
    </row>
    <row r="11" spans="1:10" ht="15" customHeight="1">
      <c r="A11" s="1" t="s">
        <v>6</v>
      </c>
      <c r="B11" s="3">
        <v>1993</v>
      </c>
      <c r="C11" s="3"/>
      <c r="D11" s="133" t="s">
        <v>192</v>
      </c>
      <c r="E11" s="133"/>
      <c r="F11" s="4">
        <v>8981</v>
      </c>
      <c r="G11" s="4">
        <v>21360</v>
      </c>
      <c r="H11" s="4">
        <v>30341</v>
      </c>
      <c r="I11" s="4"/>
      <c r="J11" s="1">
        <v>29.5</v>
      </c>
    </row>
    <row r="12" spans="1:10" ht="15" customHeight="1">
      <c r="A12" s="1" t="s">
        <v>7</v>
      </c>
      <c r="B12" s="3">
        <v>1993</v>
      </c>
      <c r="C12" s="3"/>
      <c r="D12" s="65" t="s">
        <v>193</v>
      </c>
      <c r="E12" s="65"/>
      <c r="F12" s="4">
        <v>8391</v>
      </c>
      <c r="G12" s="4">
        <v>21795</v>
      </c>
      <c r="H12" s="4">
        <v>30186</v>
      </c>
      <c r="I12" s="4"/>
      <c r="J12" s="1">
        <v>27.8</v>
      </c>
    </row>
    <row r="13" spans="1:10" ht="15" customHeight="1">
      <c r="A13" s="1" t="s">
        <v>5</v>
      </c>
      <c r="B13" s="3">
        <v>1994</v>
      </c>
      <c r="C13" s="3"/>
      <c r="D13" s="65" t="s">
        <v>194</v>
      </c>
      <c r="E13" s="65"/>
      <c r="F13" s="4">
        <v>8586</v>
      </c>
      <c r="G13" s="4">
        <v>22302</v>
      </c>
      <c r="H13" s="4">
        <v>30888</v>
      </c>
      <c r="I13" s="4"/>
      <c r="J13" s="1">
        <v>27.8</v>
      </c>
    </row>
    <row r="14" spans="1:10" ht="15" customHeight="1">
      <c r="A14" s="1" t="s">
        <v>5</v>
      </c>
      <c r="B14" s="3">
        <v>1995</v>
      </c>
      <c r="C14" s="3"/>
      <c r="D14" s="65" t="s">
        <v>195</v>
      </c>
      <c r="E14" s="65"/>
      <c r="F14" s="4">
        <v>8707</v>
      </c>
      <c r="G14" s="4">
        <v>22619</v>
      </c>
      <c r="H14" s="4">
        <v>31326</v>
      </c>
      <c r="I14" s="4"/>
      <c r="J14" s="1">
        <v>27.8</v>
      </c>
    </row>
    <row r="15" spans="1:10" ht="15" customHeight="1">
      <c r="A15" s="1" t="s">
        <v>5</v>
      </c>
      <c r="B15" s="3">
        <v>1996</v>
      </c>
      <c r="C15" s="3"/>
      <c r="D15" s="65" t="s">
        <v>196</v>
      </c>
      <c r="E15" s="65"/>
      <c r="F15" s="4">
        <v>8829</v>
      </c>
      <c r="G15" s="4">
        <v>22936</v>
      </c>
      <c r="H15" s="4">
        <v>31765</v>
      </c>
      <c r="I15" s="4"/>
      <c r="J15" s="1">
        <v>27.8</v>
      </c>
    </row>
    <row r="16" spans="1:10" ht="15" customHeight="1">
      <c r="A16" s="1" t="s">
        <v>5</v>
      </c>
      <c r="B16" s="3">
        <v>1997</v>
      </c>
      <c r="C16" s="3"/>
      <c r="D16" s="65" t="s">
        <v>197</v>
      </c>
      <c r="E16" s="65"/>
      <c r="F16" s="4">
        <v>8854</v>
      </c>
      <c r="G16" s="4">
        <v>22999</v>
      </c>
      <c r="H16" s="4">
        <v>31853</v>
      </c>
      <c r="I16" s="4"/>
      <c r="J16" s="1">
        <v>27.8</v>
      </c>
    </row>
    <row r="17" spans="1:10" ht="15" customHeight="1">
      <c r="A17" s="1" t="s">
        <v>5</v>
      </c>
      <c r="B17" s="3">
        <v>1998</v>
      </c>
      <c r="C17" s="3"/>
      <c r="D17" s="65" t="s">
        <v>198</v>
      </c>
      <c r="E17" s="65"/>
      <c r="F17" s="4">
        <v>8878</v>
      </c>
      <c r="G17" s="4">
        <v>23063</v>
      </c>
      <c r="H17" s="4">
        <v>31941</v>
      </c>
      <c r="I17" s="4"/>
      <c r="J17" s="1">
        <v>27.8</v>
      </c>
    </row>
    <row r="18" spans="1:10" ht="15" customHeight="1">
      <c r="A18" s="1" t="s">
        <v>8</v>
      </c>
      <c r="B18" s="3">
        <v>1999</v>
      </c>
      <c r="C18" s="3"/>
      <c r="D18" s="65" t="s">
        <v>198</v>
      </c>
      <c r="E18" s="65"/>
      <c r="F18" s="4">
        <v>8878</v>
      </c>
      <c r="G18" s="4">
        <v>23063</v>
      </c>
      <c r="H18" s="4">
        <v>31941</v>
      </c>
      <c r="I18" s="4"/>
      <c r="J18" s="1">
        <v>27.8</v>
      </c>
    </row>
    <row r="19" spans="1:10" ht="15" customHeight="1">
      <c r="A19" s="1" t="s">
        <v>8</v>
      </c>
      <c r="B19" s="3">
        <v>2000</v>
      </c>
      <c r="C19" s="3"/>
      <c r="D19" s="70" t="s">
        <v>199</v>
      </c>
      <c r="E19" s="70"/>
      <c r="F19" s="4">
        <v>8927</v>
      </c>
      <c r="G19" s="4">
        <v>23189</v>
      </c>
      <c r="H19" s="4">
        <v>32116</v>
      </c>
      <c r="I19" s="4"/>
      <c r="J19" s="1">
        <v>27.8</v>
      </c>
    </row>
    <row r="20" spans="1:10" ht="15" customHeight="1">
      <c r="A20" s="15" t="s">
        <v>6</v>
      </c>
      <c r="B20" s="21">
        <v>2001</v>
      </c>
      <c r="C20" s="21"/>
      <c r="D20" s="70" t="s">
        <v>200</v>
      </c>
      <c r="E20" s="70"/>
      <c r="F20" s="19">
        <v>9000</v>
      </c>
      <c r="G20" s="19">
        <v>23379</v>
      </c>
      <c r="H20" s="19">
        <v>32379</v>
      </c>
      <c r="I20" s="19"/>
      <c r="J20" s="15">
        <v>27.8</v>
      </c>
    </row>
    <row r="21" spans="1:10" ht="15" customHeight="1">
      <c r="A21" s="1" t="s">
        <v>7</v>
      </c>
      <c r="B21" s="3">
        <v>2001</v>
      </c>
      <c r="C21" s="3"/>
      <c r="D21" s="70" t="s">
        <v>200</v>
      </c>
      <c r="E21" s="70"/>
      <c r="F21" s="4">
        <v>11140</v>
      </c>
      <c r="G21" s="4">
        <v>21240</v>
      </c>
      <c r="H21" s="4">
        <v>32380</v>
      </c>
      <c r="I21" s="4"/>
      <c r="J21" s="1">
        <v>34.5</v>
      </c>
    </row>
    <row r="22" spans="1:10" ht="15" customHeight="1">
      <c r="A22" s="15" t="s">
        <v>5</v>
      </c>
      <c r="B22" s="21">
        <v>2002</v>
      </c>
      <c r="C22" s="21"/>
      <c r="D22" s="70" t="s">
        <v>201</v>
      </c>
      <c r="E22" s="70"/>
      <c r="F22" s="19">
        <v>11440</v>
      </c>
      <c r="G22" s="19">
        <v>21820</v>
      </c>
      <c r="H22" s="19">
        <v>33260</v>
      </c>
      <c r="I22" s="19"/>
      <c r="J22" s="15">
        <v>34.5</v>
      </c>
    </row>
    <row r="23" spans="1:10" ht="15" customHeight="1">
      <c r="A23" s="15" t="s">
        <v>5</v>
      </c>
      <c r="B23" s="21">
        <v>2003</v>
      </c>
      <c r="C23" s="21"/>
      <c r="D23" s="70" t="s">
        <v>202</v>
      </c>
      <c r="E23" s="70"/>
      <c r="F23" s="19">
        <v>11640</v>
      </c>
      <c r="G23" s="19">
        <v>22240</v>
      </c>
      <c r="H23" s="19">
        <v>33880</v>
      </c>
      <c r="I23" s="19"/>
      <c r="J23" s="15">
        <v>34.5</v>
      </c>
    </row>
    <row r="24" spans="1:10" ht="15" customHeight="1">
      <c r="A24" s="15" t="s">
        <v>5</v>
      </c>
      <c r="B24" s="21">
        <v>2004</v>
      </c>
      <c r="C24" s="21"/>
      <c r="D24" s="70" t="s">
        <v>203</v>
      </c>
      <c r="E24" s="70"/>
      <c r="F24" s="19">
        <v>11860</v>
      </c>
      <c r="G24" s="19">
        <v>22640</v>
      </c>
      <c r="H24" s="19">
        <v>34500</v>
      </c>
      <c r="I24" s="19"/>
      <c r="J24" s="15">
        <v>34.5</v>
      </c>
    </row>
    <row r="25" spans="1:12" ht="15" customHeight="1">
      <c r="A25" s="2" t="s">
        <v>5</v>
      </c>
      <c r="B25" s="134">
        <v>2005</v>
      </c>
      <c r="C25" s="134"/>
      <c r="D25" s="105" t="s">
        <v>204</v>
      </c>
      <c r="E25" s="105"/>
      <c r="F25" s="63">
        <v>11880</v>
      </c>
      <c r="G25" s="63">
        <v>22700</v>
      </c>
      <c r="H25" s="63">
        <v>34580</v>
      </c>
      <c r="I25" s="63"/>
      <c r="J25" s="2">
        <v>34.5</v>
      </c>
      <c r="K25" s="6"/>
      <c r="L25" s="6"/>
    </row>
    <row r="26" spans="1:12" ht="24" customHeight="1">
      <c r="A26" s="32"/>
      <c r="B26" s="44"/>
      <c r="C26" s="44"/>
      <c r="D26" s="43"/>
      <c r="E26" s="43"/>
      <c r="F26" s="45"/>
      <c r="G26" s="45"/>
      <c r="H26" s="45"/>
      <c r="I26" s="45"/>
      <c r="J26" s="39"/>
      <c r="K26" s="6"/>
      <c r="L26" s="6"/>
    </row>
    <row r="27" spans="1:12" ht="48" customHeight="1">
      <c r="A27" s="167" t="s">
        <v>148</v>
      </c>
      <c r="B27" s="168"/>
      <c r="C27" s="168"/>
      <c r="D27" s="168"/>
      <c r="E27" s="168"/>
      <c r="F27" s="168"/>
      <c r="G27" s="168"/>
      <c r="H27" s="168"/>
      <c r="I27" s="168"/>
      <c r="J27" s="168"/>
      <c r="K27" s="26"/>
      <c r="L27" s="26"/>
    </row>
    <row r="31" spans="1:10" ht="27.75" customHeight="1">
      <c r="A31" s="173" t="s">
        <v>207</v>
      </c>
      <c r="B31" s="174"/>
      <c r="C31" s="174"/>
      <c r="D31" s="174"/>
      <c r="E31" s="174"/>
      <c r="F31" s="174"/>
      <c r="G31" s="174"/>
      <c r="H31" s="174"/>
      <c r="I31" s="174"/>
      <c r="J31" s="174"/>
    </row>
    <row r="32" spans="1:10" ht="7.5" customHeight="1">
      <c r="A32" s="75"/>
      <c r="B32" s="76"/>
      <c r="C32" s="76"/>
      <c r="D32" s="76"/>
      <c r="E32" s="76"/>
      <c r="F32" s="76"/>
      <c r="G32" s="76"/>
      <c r="H32" s="76"/>
      <c r="I32" s="76"/>
      <c r="J32" s="76"/>
    </row>
    <row r="33" spans="1:12" ht="26.25" customHeight="1">
      <c r="A33" s="175" t="s">
        <v>145</v>
      </c>
      <c r="B33" s="176"/>
      <c r="C33" s="176"/>
      <c r="D33" s="176"/>
      <c r="E33" s="176"/>
      <c r="F33" s="176"/>
      <c r="G33" s="176"/>
      <c r="H33" s="176"/>
      <c r="I33" s="176"/>
      <c r="J33" s="176"/>
      <c r="K33" s="6"/>
      <c r="L33" s="6"/>
    </row>
    <row r="34" spans="1:12" ht="24" customHeight="1">
      <c r="A34" s="125" t="s">
        <v>0</v>
      </c>
      <c r="B34" s="130" t="s">
        <v>41</v>
      </c>
      <c r="C34" s="130"/>
      <c r="D34" s="164" t="s">
        <v>188</v>
      </c>
      <c r="E34" s="82"/>
      <c r="F34" s="166" t="s">
        <v>1</v>
      </c>
      <c r="G34" s="166"/>
      <c r="H34" s="166"/>
      <c r="I34" s="131"/>
      <c r="J34" s="164" t="s">
        <v>2</v>
      </c>
      <c r="K34" s="18"/>
      <c r="L34" s="18"/>
    </row>
    <row r="35" spans="1:10" ht="21" customHeight="1">
      <c r="A35" s="2"/>
      <c r="B35" s="2"/>
      <c r="C35" s="2"/>
      <c r="D35" s="165"/>
      <c r="E35" s="132"/>
      <c r="F35" s="132" t="s">
        <v>3</v>
      </c>
      <c r="G35" s="132" t="s">
        <v>189</v>
      </c>
      <c r="H35" s="10" t="s">
        <v>4</v>
      </c>
      <c r="I35" s="10"/>
      <c r="J35" s="165"/>
    </row>
    <row r="36" spans="1:10" ht="18.75" customHeight="1">
      <c r="A36" s="15" t="s">
        <v>33</v>
      </c>
      <c r="B36" s="21">
        <v>2001</v>
      </c>
      <c r="C36" s="21"/>
      <c r="D36" s="70" t="s">
        <v>200</v>
      </c>
      <c r="E36" s="70"/>
      <c r="F36" s="19">
        <v>26560</v>
      </c>
      <c r="G36" s="19">
        <v>5820</v>
      </c>
      <c r="H36" s="19">
        <v>32380</v>
      </c>
      <c r="I36" s="19"/>
      <c r="J36" s="135">
        <v>82</v>
      </c>
    </row>
    <row r="37" spans="1:10" ht="15" customHeight="1">
      <c r="A37" s="15" t="s">
        <v>5</v>
      </c>
      <c r="B37" s="21">
        <v>2002</v>
      </c>
      <c r="C37" s="21"/>
      <c r="D37" s="70" t="s">
        <v>201</v>
      </c>
      <c r="E37" s="70"/>
      <c r="F37" s="19">
        <v>27280</v>
      </c>
      <c r="G37" s="19">
        <v>5980</v>
      </c>
      <c r="H37" s="19">
        <v>33260</v>
      </c>
      <c r="I37" s="19"/>
      <c r="J37" s="135">
        <v>82</v>
      </c>
    </row>
    <row r="38" spans="1:10" ht="15" customHeight="1">
      <c r="A38" s="15" t="s">
        <v>5</v>
      </c>
      <c r="B38" s="21">
        <v>2003</v>
      </c>
      <c r="C38" s="21"/>
      <c r="D38" s="70" t="s">
        <v>202</v>
      </c>
      <c r="E38" s="70"/>
      <c r="F38" s="19">
        <v>27780</v>
      </c>
      <c r="G38" s="19">
        <v>6100</v>
      </c>
      <c r="H38" s="19">
        <v>33880</v>
      </c>
      <c r="I38" s="19"/>
      <c r="J38" s="135">
        <v>82</v>
      </c>
    </row>
    <row r="39" spans="1:10" ht="15" customHeight="1">
      <c r="A39" s="15" t="s">
        <v>5</v>
      </c>
      <c r="B39" s="21">
        <v>2004</v>
      </c>
      <c r="C39" s="21"/>
      <c r="D39" s="70" t="s">
        <v>203</v>
      </c>
      <c r="E39" s="70"/>
      <c r="F39" s="19">
        <v>28280</v>
      </c>
      <c r="G39" s="19">
        <v>6220</v>
      </c>
      <c r="H39" s="19">
        <v>34500</v>
      </c>
      <c r="I39" s="19"/>
      <c r="J39" s="135">
        <v>82</v>
      </c>
    </row>
    <row r="40" spans="1:10" ht="15" customHeight="1">
      <c r="A40" s="2" t="s">
        <v>5</v>
      </c>
      <c r="B40" s="134">
        <v>2005</v>
      </c>
      <c r="C40" s="134"/>
      <c r="D40" s="105" t="s">
        <v>204</v>
      </c>
      <c r="E40" s="105"/>
      <c r="F40" s="63">
        <v>28360</v>
      </c>
      <c r="G40" s="63">
        <v>6220</v>
      </c>
      <c r="H40" s="63">
        <v>34580</v>
      </c>
      <c r="I40" s="63"/>
      <c r="J40" s="136">
        <v>82</v>
      </c>
    </row>
    <row r="41" spans="1:10" ht="24" customHeight="1">
      <c r="A41" s="39"/>
      <c r="B41" s="44"/>
      <c r="C41" s="44"/>
      <c r="D41" s="43"/>
      <c r="E41" s="43"/>
      <c r="F41" s="45"/>
      <c r="G41" s="45"/>
      <c r="H41" s="45"/>
      <c r="I41" s="45"/>
      <c r="J41" s="64"/>
    </row>
    <row r="42" spans="1:13" ht="36.75" customHeight="1">
      <c r="A42" s="169" t="s">
        <v>79</v>
      </c>
      <c r="B42" s="170"/>
      <c r="C42" s="170"/>
      <c r="D42" s="170"/>
      <c r="E42" s="170"/>
      <c r="F42" s="170"/>
      <c r="G42" s="170"/>
      <c r="H42" s="170"/>
      <c r="I42" s="170"/>
      <c r="J42" s="170"/>
      <c r="K42" s="17"/>
      <c r="L42" s="17"/>
      <c r="M42" s="16"/>
    </row>
    <row r="43" spans="1:9" ht="12.75" customHeight="1">
      <c r="A43" s="28"/>
      <c r="B43" s="28"/>
      <c r="C43" s="28"/>
      <c r="D43" s="28"/>
      <c r="E43" s="28"/>
      <c r="F43" s="28"/>
      <c r="G43" s="28"/>
      <c r="H43" s="28"/>
      <c r="I43" s="28"/>
    </row>
    <row r="44" ht="12.75">
      <c r="A44" s="28"/>
    </row>
  </sheetData>
  <sheetProtection/>
  <mergeCells count="13">
    <mergeCell ref="A42:J42"/>
    <mergeCell ref="A2:H2"/>
    <mergeCell ref="A31:J31"/>
    <mergeCell ref="A33:J33"/>
    <mergeCell ref="J7:J8"/>
    <mergeCell ref="A4:J4"/>
    <mergeCell ref="A6:J6"/>
    <mergeCell ref="D7:D8"/>
    <mergeCell ref="F7:H7"/>
    <mergeCell ref="A27:J27"/>
    <mergeCell ref="D34:D35"/>
    <mergeCell ref="F34:H34"/>
    <mergeCell ref="J34:J35"/>
  </mergeCells>
  <printOptions/>
  <pageMargins left="0.7874015748031497" right="0.3937007874015748" top="0.984251968503937" bottom="0.1968503937007874" header="0.5118110236220472" footer="0.5118110236220472"/>
  <pageSetup firstPageNumber="31" useFirstPageNumber="1" horizontalDpi="600" verticalDpi="600" orientation="portrait" paperSize="9" scale="96" r:id="rId2"/>
  <headerFooter alignWithMargins="0">
    <oddHeader>&amp;R&amp;P</oddHeader>
  </headerFooter>
  <drawing r:id="rId1"/>
</worksheet>
</file>

<file path=xl/worksheets/sheet10.xml><?xml version="1.0" encoding="utf-8"?>
<worksheet xmlns="http://schemas.openxmlformats.org/spreadsheetml/2006/main" xmlns:r="http://schemas.openxmlformats.org/officeDocument/2006/relationships">
  <dimension ref="A1:N52"/>
  <sheetViews>
    <sheetView zoomScalePageLayoutView="0" workbookViewId="0" topLeftCell="A1">
      <selection activeCell="D34" sqref="D34:D35"/>
    </sheetView>
  </sheetViews>
  <sheetFormatPr defaultColWidth="9.140625" defaultRowHeight="12.75"/>
  <cols>
    <col min="1" max="1" width="11.28125" style="0" customWidth="1"/>
    <col min="2" max="2" width="9.28125" style="0" customWidth="1"/>
    <col min="3" max="3" width="1.7109375" style="0" customWidth="1"/>
    <col min="4" max="4" width="8.00390625" style="0" customWidth="1"/>
    <col min="5" max="5" width="1.421875" style="0" customWidth="1"/>
    <col min="6" max="6" width="7.140625" style="0" customWidth="1"/>
    <col min="7" max="7" width="7.57421875" style="0" customWidth="1"/>
    <col min="9" max="9" width="1.7109375" style="0" customWidth="1"/>
    <col min="10" max="10" width="8.57421875" style="0" customWidth="1"/>
    <col min="11" max="11" width="8.00390625" style="0" customWidth="1"/>
    <col min="12" max="12" width="7.57421875" style="0" customWidth="1"/>
    <col min="13" max="13" width="9.421875" style="0" customWidth="1"/>
  </cols>
  <sheetData>
    <row r="1" spans="1:13" ht="27" customHeight="1">
      <c r="A1" s="173" t="s">
        <v>178</v>
      </c>
      <c r="B1" s="174"/>
      <c r="C1" s="174"/>
      <c r="D1" s="174"/>
      <c r="E1" s="174"/>
      <c r="F1" s="174"/>
      <c r="G1" s="174"/>
      <c r="H1" s="174"/>
      <c r="I1" s="174"/>
      <c r="J1" s="174"/>
      <c r="K1" s="174"/>
      <c r="L1" s="174"/>
      <c r="M1" s="174"/>
    </row>
    <row r="2" spans="1:13" ht="6.75" customHeight="1">
      <c r="A2" s="75"/>
      <c r="B2" s="76"/>
      <c r="C2" s="76"/>
      <c r="D2" s="76"/>
      <c r="E2" s="76"/>
      <c r="F2" s="76"/>
      <c r="G2" s="76"/>
      <c r="H2" s="76"/>
      <c r="I2" s="76"/>
      <c r="J2" s="76"/>
      <c r="K2" s="76"/>
      <c r="L2" s="76"/>
      <c r="M2" s="76"/>
    </row>
    <row r="3" spans="1:13" ht="27" customHeight="1">
      <c r="A3" s="168" t="s">
        <v>176</v>
      </c>
      <c r="B3" s="168"/>
      <c r="C3" s="168"/>
      <c r="D3" s="168"/>
      <c r="E3" s="168"/>
      <c r="F3" s="168"/>
      <c r="G3" s="168"/>
      <c r="H3" s="168"/>
      <c r="I3" s="168"/>
      <c r="J3" s="168"/>
      <c r="K3" s="168"/>
      <c r="L3" s="168"/>
      <c r="M3" s="168"/>
    </row>
    <row r="4" spans="1:14" ht="25.5" customHeight="1">
      <c r="A4" s="144" t="s">
        <v>135</v>
      </c>
      <c r="B4" s="126" t="s">
        <v>71</v>
      </c>
      <c r="C4" s="80"/>
      <c r="D4" s="179" t="s">
        <v>72</v>
      </c>
      <c r="E4" s="179"/>
      <c r="F4" s="180"/>
      <c r="G4" s="180"/>
      <c r="H4" s="180"/>
      <c r="I4" s="71"/>
      <c r="J4" s="179" t="s">
        <v>73</v>
      </c>
      <c r="K4" s="180"/>
      <c r="L4" s="180"/>
      <c r="M4" s="180"/>
      <c r="N4" s="37"/>
    </row>
    <row r="5" spans="1:14" ht="50.25" customHeight="1">
      <c r="A5" s="5" t="s">
        <v>177</v>
      </c>
      <c r="B5" s="10" t="s">
        <v>123</v>
      </c>
      <c r="C5" s="10"/>
      <c r="D5" s="10" t="s">
        <v>141</v>
      </c>
      <c r="E5" s="143" t="s">
        <v>139</v>
      </c>
      <c r="F5" s="10" t="s">
        <v>124</v>
      </c>
      <c r="G5" s="10" t="s">
        <v>13</v>
      </c>
      <c r="H5" s="10" t="s">
        <v>59</v>
      </c>
      <c r="I5" s="10"/>
      <c r="J5" s="10" t="s">
        <v>63</v>
      </c>
      <c r="K5" s="10" t="s">
        <v>14</v>
      </c>
      <c r="L5" s="10" t="s">
        <v>122</v>
      </c>
      <c r="M5" s="10" t="s">
        <v>55</v>
      </c>
      <c r="N5" s="20"/>
    </row>
    <row r="6" spans="1:14" ht="18.75" customHeight="1">
      <c r="A6" s="89" t="s">
        <v>17</v>
      </c>
      <c r="B6" s="120">
        <v>100</v>
      </c>
      <c r="C6" s="120"/>
      <c r="D6" s="120">
        <v>100</v>
      </c>
      <c r="E6" s="120"/>
      <c r="F6" s="120">
        <v>100</v>
      </c>
      <c r="G6" s="120">
        <v>100</v>
      </c>
      <c r="H6" s="120">
        <v>100</v>
      </c>
      <c r="I6" s="120"/>
      <c r="J6" s="120">
        <v>100</v>
      </c>
      <c r="K6" s="120">
        <v>100</v>
      </c>
      <c r="L6" s="120">
        <v>100</v>
      </c>
      <c r="M6" s="120">
        <v>100</v>
      </c>
      <c r="N6" s="7"/>
    </row>
    <row r="7" spans="1:14" ht="12.75">
      <c r="A7" s="13" t="s">
        <v>27</v>
      </c>
      <c r="B7" s="124">
        <v>0</v>
      </c>
      <c r="C7" s="109"/>
      <c r="D7" s="7">
        <v>6.6</v>
      </c>
      <c r="E7" s="7"/>
      <c r="F7" s="124">
        <v>0</v>
      </c>
      <c r="G7" s="124">
        <v>0.1</v>
      </c>
      <c r="H7" s="7">
        <v>0.8</v>
      </c>
      <c r="I7" s="98"/>
      <c r="J7" s="7">
        <v>4.7</v>
      </c>
      <c r="K7" s="124" t="s">
        <v>64</v>
      </c>
      <c r="L7" s="7">
        <v>3.3</v>
      </c>
      <c r="M7" s="7">
        <v>4.6</v>
      </c>
      <c r="N7" s="4"/>
    </row>
    <row r="8" spans="1:14" ht="12.75">
      <c r="A8" s="3" t="s">
        <v>28</v>
      </c>
      <c r="B8" s="7">
        <v>74.9</v>
      </c>
      <c r="C8" s="98"/>
      <c r="D8" s="7">
        <v>77.8</v>
      </c>
      <c r="E8" s="7"/>
      <c r="F8" s="7">
        <v>78.1</v>
      </c>
      <c r="G8" s="7">
        <v>71.2</v>
      </c>
      <c r="H8" s="7">
        <v>73.3</v>
      </c>
      <c r="I8" s="98"/>
      <c r="J8" s="7">
        <v>48.2</v>
      </c>
      <c r="K8" s="7">
        <v>13.1</v>
      </c>
      <c r="L8" s="7">
        <v>37.8</v>
      </c>
      <c r="M8" s="7">
        <v>47.4</v>
      </c>
      <c r="N8" s="4"/>
    </row>
    <row r="9" spans="1:14" ht="12.75">
      <c r="A9" s="3" t="s">
        <v>20</v>
      </c>
      <c r="B9" s="7">
        <v>8</v>
      </c>
      <c r="C9" s="98"/>
      <c r="D9" s="7">
        <v>8.6</v>
      </c>
      <c r="E9" s="7"/>
      <c r="F9" s="7">
        <v>10.9</v>
      </c>
      <c r="G9" s="7">
        <v>12.1</v>
      </c>
      <c r="H9" s="7">
        <v>11.2</v>
      </c>
      <c r="I9" s="98"/>
      <c r="J9" s="7">
        <v>22.2</v>
      </c>
      <c r="K9" s="7">
        <v>44.9</v>
      </c>
      <c r="L9" s="7">
        <v>24.1</v>
      </c>
      <c r="M9" s="7">
        <v>22.4</v>
      </c>
      <c r="N9" s="4"/>
    </row>
    <row r="10" spans="1:14" ht="12.75">
      <c r="A10" s="3" t="s">
        <v>21</v>
      </c>
      <c r="B10" s="7">
        <v>6.7</v>
      </c>
      <c r="C10" s="98"/>
      <c r="D10" s="7">
        <v>3.6</v>
      </c>
      <c r="E10" s="7"/>
      <c r="F10" s="7">
        <v>4.4</v>
      </c>
      <c r="G10" s="7">
        <v>6.6</v>
      </c>
      <c r="H10" s="7">
        <v>5.9</v>
      </c>
      <c r="I10" s="98"/>
      <c r="J10" s="7">
        <v>10.3</v>
      </c>
      <c r="K10" s="7">
        <v>14</v>
      </c>
      <c r="L10" s="7">
        <v>13.9</v>
      </c>
      <c r="M10" s="7">
        <v>10.5</v>
      </c>
      <c r="N10" s="4"/>
    </row>
    <row r="11" spans="1:14" ht="12.75">
      <c r="A11" s="3" t="s">
        <v>22</v>
      </c>
      <c r="B11" s="7">
        <v>5.1</v>
      </c>
      <c r="C11" s="98"/>
      <c r="D11" s="7">
        <v>2</v>
      </c>
      <c r="E11" s="7"/>
      <c r="F11" s="7">
        <v>2.8</v>
      </c>
      <c r="G11" s="7">
        <v>5.3</v>
      </c>
      <c r="H11" s="7">
        <v>4.5</v>
      </c>
      <c r="I11" s="98"/>
      <c r="J11" s="7">
        <v>7.9</v>
      </c>
      <c r="K11" s="7">
        <v>13.1</v>
      </c>
      <c r="L11" s="7">
        <v>10.1</v>
      </c>
      <c r="M11" s="7">
        <v>8.1</v>
      </c>
      <c r="N11" s="4"/>
    </row>
    <row r="12" spans="1:14" ht="12.75">
      <c r="A12" s="3" t="s">
        <v>23</v>
      </c>
      <c r="B12" s="7">
        <v>3.4</v>
      </c>
      <c r="C12" s="98"/>
      <c r="D12" s="7">
        <v>0.9</v>
      </c>
      <c r="E12" s="7"/>
      <c r="F12" s="7">
        <v>2.2</v>
      </c>
      <c r="G12" s="7">
        <v>3.2</v>
      </c>
      <c r="H12" s="7">
        <v>2.8</v>
      </c>
      <c r="I12" s="98"/>
      <c r="J12" s="7">
        <v>4.8</v>
      </c>
      <c r="K12" s="7">
        <v>9.3</v>
      </c>
      <c r="L12" s="7">
        <v>6.9</v>
      </c>
      <c r="M12" s="7">
        <v>4.9</v>
      </c>
      <c r="N12" s="4"/>
    </row>
    <row r="13" spans="1:14" ht="12.75">
      <c r="A13" s="3" t="s">
        <v>24</v>
      </c>
      <c r="B13" s="7">
        <v>1.8</v>
      </c>
      <c r="C13" s="98"/>
      <c r="D13" s="7">
        <v>0.4</v>
      </c>
      <c r="E13" s="7"/>
      <c r="F13" s="7">
        <v>1.5</v>
      </c>
      <c r="G13" s="7">
        <v>1.4</v>
      </c>
      <c r="H13" s="7">
        <v>1.4</v>
      </c>
      <c r="I13" s="98"/>
      <c r="J13" s="7">
        <v>1.8</v>
      </c>
      <c r="K13" s="7">
        <v>4.7</v>
      </c>
      <c r="L13" s="7">
        <v>3.4</v>
      </c>
      <c r="M13" s="7">
        <v>1.9</v>
      </c>
      <c r="N13" s="4"/>
    </row>
    <row r="14" spans="1:14" ht="12.75">
      <c r="A14" s="3" t="s">
        <v>25</v>
      </c>
      <c r="B14" s="7">
        <v>0.2</v>
      </c>
      <c r="C14" s="98"/>
      <c r="D14" s="7">
        <v>0</v>
      </c>
      <c r="E14" s="7"/>
      <c r="F14" s="7">
        <v>0.1</v>
      </c>
      <c r="G14" s="7">
        <v>0.2</v>
      </c>
      <c r="H14" s="7">
        <v>0.2</v>
      </c>
      <c r="I14" s="98"/>
      <c r="J14" s="7">
        <v>0.2</v>
      </c>
      <c r="K14" s="124">
        <v>0.9</v>
      </c>
      <c r="L14" s="7">
        <v>0.4</v>
      </c>
      <c r="M14" s="7">
        <v>0.2</v>
      </c>
      <c r="N14" s="4"/>
    </row>
    <row r="15" spans="1:14" ht="12.75">
      <c r="A15" s="3" t="s">
        <v>26</v>
      </c>
      <c r="B15" s="124" t="s">
        <v>64</v>
      </c>
      <c r="C15" s="109"/>
      <c r="D15" s="124" t="s">
        <v>64</v>
      </c>
      <c r="E15" s="124"/>
      <c r="F15" s="124" t="s">
        <v>64</v>
      </c>
      <c r="G15" s="124">
        <v>0</v>
      </c>
      <c r="H15" s="124">
        <v>0</v>
      </c>
      <c r="I15" s="109"/>
      <c r="J15" s="7">
        <v>0</v>
      </c>
      <c r="K15" s="124" t="s">
        <v>64</v>
      </c>
      <c r="L15" s="124">
        <v>0</v>
      </c>
      <c r="M15" s="7">
        <v>0</v>
      </c>
      <c r="N15" s="4"/>
    </row>
    <row r="16" spans="1:14" ht="12.75">
      <c r="A16" s="3" t="s">
        <v>182</v>
      </c>
      <c r="B16" s="4">
        <v>3710</v>
      </c>
      <c r="C16" s="4"/>
      <c r="D16" s="4">
        <v>4333</v>
      </c>
      <c r="E16" s="4"/>
      <c r="F16" s="4">
        <v>6526</v>
      </c>
      <c r="G16" s="4">
        <v>26188</v>
      </c>
      <c r="H16" s="4">
        <v>40757</v>
      </c>
      <c r="I16" s="4"/>
      <c r="J16" s="4">
        <v>157542</v>
      </c>
      <c r="K16" s="4">
        <v>107</v>
      </c>
      <c r="L16" s="4">
        <v>11793</v>
      </c>
      <c r="M16" s="4">
        <v>169442</v>
      </c>
      <c r="N16" s="4"/>
    </row>
    <row r="17" spans="1:14" ht="12.75">
      <c r="A17" s="3"/>
      <c r="B17" s="92"/>
      <c r="C17" s="92"/>
      <c r="D17" s="92"/>
      <c r="E17" s="92"/>
      <c r="F17" s="92"/>
      <c r="G17" s="92"/>
      <c r="H17" s="92"/>
      <c r="I17" s="92"/>
      <c r="J17" s="92"/>
      <c r="K17" s="92"/>
      <c r="L17" s="92"/>
      <c r="M17" s="92"/>
      <c r="N17" s="4"/>
    </row>
    <row r="18" spans="1:14" ht="16.5" customHeight="1">
      <c r="A18" s="14" t="s">
        <v>19</v>
      </c>
      <c r="B18" s="121">
        <v>100</v>
      </c>
      <c r="C18" s="121"/>
      <c r="D18" s="121">
        <v>100</v>
      </c>
      <c r="E18" s="121"/>
      <c r="F18" s="121">
        <v>100</v>
      </c>
      <c r="G18" s="121">
        <v>100</v>
      </c>
      <c r="H18" s="121">
        <v>100</v>
      </c>
      <c r="I18" s="121"/>
      <c r="J18" s="121">
        <v>100</v>
      </c>
      <c r="K18" s="121">
        <v>100</v>
      </c>
      <c r="L18" s="121">
        <v>100</v>
      </c>
      <c r="M18" s="121">
        <v>100</v>
      </c>
      <c r="N18" s="4"/>
    </row>
    <row r="19" spans="1:14" ht="12.75">
      <c r="A19" s="13" t="s">
        <v>27</v>
      </c>
      <c r="B19" s="124">
        <v>0</v>
      </c>
      <c r="C19" s="109"/>
      <c r="D19" s="7">
        <v>8.8</v>
      </c>
      <c r="E19" s="7"/>
      <c r="F19" s="124">
        <v>0.1</v>
      </c>
      <c r="G19" s="124">
        <v>0</v>
      </c>
      <c r="H19" s="7">
        <v>1.7</v>
      </c>
      <c r="I19" s="98"/>
      <c r="J19" s="7">
        <v>4.8</v>
      </c>
      <c r="K19" s="124" t="s">
        <v>64</v>
      </c>
      <c r="L19" s="7">
        <v>4.9</v>
      </c>
      <c r="M19" s="7">
        <v>4.8</v>
      </c>
      <c r="N19" s="4"/>
    </row>
    <row r="20" spans="1:14" ht="12.75">
      <c r="A20" s="3" t="s">
        <v>28</v>
      </c>
      <c r="B20" s="7">
        <v>80.7</v>
      </c>
      <c r="C20" s="98"/>
      <c r="D20" s="7">
        <v>77.9</v>
      </c>
      <c r="E20" s="7"/>
      <c r="F20" s="7">
        <v>81</v>
      </c>
      <c r="G20" s="7">
        <v>78.9</v>
      </c>
      <c r="H20" s="7">
        <v>79.2</v>
      </c>
      <c r="I20" s="98"/>
      <c r="J20" s="7">
        <v>54.6</v>
      </c>
      <c r="K20" s="7">
        <v>1.5</v>
      </c>
      <c r="L20" s="7">
        <v>42</v>
      </c>
      <c r="M20" s="7">
        <v>53.4</v>
      </c>
      <c r="N20" s="4"/>
    </row>
    <row r="21" spans="1:14" ht="12.75">
      <c r="A21" s="3" t="s">
        <v>20</v>
      </c>
      <c r="B21" s="7">
        <v>6.7</v>
      </c>
      <c r="C21" s="98"/>
      <c r="D21" s="7">
        <v>8.3</v>
      </c>
      <c r="E21" s="7"/>
      <c r="F21" s="7">
        <v>12.9</v>
      </c>
      <c r="G21" s="7">
        <v>11.2</v>
      </c>
      <c r="H21" s="7">
        <v>10.6</v>
      </c>
      <c r="I21" s="98"/>
      <c r="J21" s="7">
        <v>26.4</v>
      </c>
      <c r="K21" s="7">
        <v>50.7</v>
      </c>
      <c r="L21" s="7">
        <v>27</v>
      </c>
      <c r="M21" s="7">
        <v>26.4</v>
      </c>
      <c r="N21" s="4"/>
    </row>
    <row r="22" spans="1:14" ht="12.75">
      <c r="A22" s="3" t="s">
        <v>21</v>
      </c>
      <c r="B22" s="7">
        <v>4.5</v>
      </c>
      <c r="C22" s="98"/>
      <c r="D22" s="7">
        <v>2.9</v>
      </c>
      <c r="E22" s="7"/>
      <c r="F22" s="7">
        <v>3.1</v>
      </c>
      <c r="G22" s="7">
        <v>4.4</v>
      </c>
      <c r="H22" s="7">
        <v>3.9</v>
      </c>
      <c r="I22" s="98"/>
      <c r="J22" s="7">
        <v>7.7</v>
      </c>
      <c r="K22" s="7">
        <v>20.9</v>
      </c>
      <c r="L22" s="7">
        <v>13.8</v>
      </c>
      <c r="M22" s="7">
        <v>8.3</v>
      </c>
      <c r="N22" s="4"/>
    </row>
    <row r="23" spans="1:14" ht="12.75">
      <c r="A23" s="3" t="s">
        <v>22</v>
      </c>
      <c r="B23" s="7">
        <v>3.14</v>
      </c>
      <c r="C23" s="98"/>
      <c r="D23" s="7">
        <v>1.4</v>
      </c>
      <c r="E23" s="7"/>
      <c r="F23" s="7">
        <v>1.6</v>
      </c>
      <c r="G23" s="7">
        <v>2.8</v>
      </c>
      <c r="H23" s="7">
        <v>2.4</v>
      </c>
      <c r="I23" s="98"/>
      <c r="J23" s="7">
        <v>3.8</v>
      </c>
      <c r="K23" s="7">
        <v>16.4</v>
      </c>
      <c r="L23" s="7">
        <v>6.8</v>
      </c>
      <c r="M23" s="7">
        <v>4.1</v>
      </c>
      <c r="N23" s="4"/>
    </row>
    <row r="24" spans="1:14" ht="12.75">
      <c r="A24" s="3" t="s">
        <v>23</v>
      </c>
      <c r="B24" s="7">
        <v>3</v>
      </c>
      <c r="C24" s="98"/>
      <c r="D24" s="7">
        <v>0.6</v>
      </c>
      <c r="E24" s="7"/>
      <c r="F24" s="7">
        <v>0.8</v>
      </c>
      <c r="G24" s="7">
        <v>1.8</v>
      </c>
      <c r="H24" s="7">
        <v>1.5</v>
      </c>
      <c r="I24" s="98"/>
      <c r="J24" s="7">
        <v>2</v>
      </c>
      <c r="K24" s="7">
        <v>6</v>
      </c>
      <c r="L24" s="7">
        <v>3.8</v>
      </c>
      <c r="M24" s="7">
        <v>2.1</v>
      </c>
      <c r="N24" s="4"/>
    </row>
    <row r="25" spans="1:14" ht="12.75">
      <c r="A25" s="3" t="s">
        <v>24</v>
      </c>
      <c r="B25" s="7">
        <v>1.8</v>
      </c>
      <c r="C25" s="98"/>
      <c r="D25" s="7">
        <v>0.1</v>
      </c>
      <c r="E25" s="7"/>
      <c r="F25" s="7">
        <v>0.4</v>
      </c>
      <c r="G25" s="7">
        <v>0.9</v>
      </c>
      <c r="H25" s="7">
        <v>0.7</v>
      </c>
      <c r="I25" s="98"/>
      <c r="J25" s="7">
        <v>0.7</v>
      </c>
      <c r="K25" s="124">
        <v>4.5</v>
      </c>
      <c r="L25" s="7">
        <v>1.6</v>
      </c>
      <c r="M25" s="7">
        <v>0.8</v>
      </c>
      <c r="N25" s="4"/>
    </row>
    <row r="26" spans="1:14" ht="12.75">
      <c r="A26" s="3" t="s">
        <v>25</v>
      </c>
      <c r="B26" s="7">
        <v>0.2</v>
      </c>
      <c r="C26" s="98"/>
      <c r="D26" s="124" t="s">
        <v>64</v>
      </c>
      <c r="E26" s="124"/>
      <c r="F26" s="124">
        <v>0.1</v>
      </c>
      <c r="G26" s="7">
        <v>0.1</v>
      </c>
      <c r="H26" s="7">
        <v>0.1</v>
      </c>
      <c r="I26" s="98"/>
      <c r="J26" s="7">
        <v>0.1</v>
      </c>
      <c r="K26" s="7">
        <v>0</v>
      </c>
      <c r="L26" s="7">
        <v>0.2</v>
      </c>
      <c r="M26" s="7">
        <v>0.1</v>
      </c>
      <c r="N26" s="4"/>
    </row>
    <row r="27" spans="1:14" ht="12.75">
      <c r="A27" s="3" t="s">
        <v>26</v>
      </c>
      <c r="B27" s="124" t="s">
        <v>64</v>
      </c>
      <c r="C27" s="109"/>
      <c r="D27" s="124" t="s">
        <v>64</v>
      </c>
      <c r="E27" s="124"/>
      <c r="F27" s="124">
        <v>0</v>
      </c>
      <c r="G27" s="124">
        <v>0</v>
      </c>
      <c r="H27" s="124" t="s">
        <v>64</v>
      </c>
      <c r="I27" s="109"/>
      <c r="J27" s="7">
        <v>0</v>
      </c>
      <c r="K27" s="124" t="s">
        <v>64</v>
      </c>
      <c r="L27" s="124">
        <v>0</v>
      </c>
      <c r="M27" s="7">
        <v>0</v>
      </c>
      <c r="N27" s="4"/>
    </row>
    <row r="28" spans="1:14" ht="12.75">
      <c r="A28" s="21" t="s">
        <v>183</v>
      </c>
      <c r="B28" s="19">
        <v>2202</v>
      </c>
      <c r="C28" s="19"/>
      <c r="D28" s="19">
        <v>5095</v>
      </c>
      <c r="E28" s="19"/>
      <c r="F28" s="19">
        <v>4216</v>
      </c>
      <c r="G28" s="19">
        <v>16084</v>
      </c>
      <c r="H28" s="19">
        <v>27594</v>
      </c>
      <c r="I28" s="19"/>
      <c r="J28" s="19">
        <v>104142</v>
      </c>
      <c r="K28" s="19">
        <v>67</v>
      </c>
      <c r="L28" s="19">
        <v>10662</v>
      </c>
      <c r="M28" s="19">
        <v>114871</v>
      </c>
      <c r="N28" s="19"/>
    </row>
    <row r="29" spans="1:14" ht="12.75">
      <c r="A29" s="21"/>
      <c r="B29" s="93"/>
      <c r="C29" s="93"/>
      <c r="D29" s="93"/>
      <c r="E29" s="93"/>
      <c r="F29" s="93"/>
      <c r="G29" s="93"/>
      <c r="H29" s="93"/>
      <c r="I29" s="93"/>
      <c r="J29" s="93"/>
      <c r="K29" s="93"/>
      <c r="L29" s="93"/>
      <c r="M29" s="93"/>
      <c r="N29" s="19"/>
    </row>
    <row r="30" spans="1:13" ht="16.5" customHeight="1">
      <c r="A30" s="14" t="s">
        <v>57</v>
      </c>
      <c r="B30" s="122">
        <v>100</v>
      </c>
      <c r="C30" s="122"/>
      <c r="D30" s="122">
        <v>100</v>
      </c>
      <c r="E30" s="122"/>
      <c r="F30" s="122">
        <v>100</v>
      </c>
      <c r="G30" s="122">
        <v>100</v>
      </c>
      <c r="H30" s="122">
        <v>100</v>
      </c>
      <c r="I30" s="122"/>
      <c r="J30" s="122">
        <v>100</v>
      </c>
      <c r="K30" s="122">
        <v>100</v>
      </c>
      <c r="L30" s="122">
        <v>100</v>
      </c>
      <c r="M30" s="122">
        <v>100</v>
      </c>
    </row>
    <row r="31" spans="1:13" ht="12.75">
      <c r="A31" s="13" t="s">
        <v>27</v>
      </c>
      <c r="B31" s="127" t="s">
        <v>64</v>
      </c>
      <c r="C31" s="110"/>
      <c r="D31" s="128">
        <v>7.8</v>
      </c>
      <c r="E31" s="128"/>
      <c r="F31" s="127">
        <v>0.1</v>
      </c>
      <c r="G31" s="128">
        <v>0</v>
      </c>
      <c r="H31" s="128">
        <v>1.1</v>
      </c>
      <c r="I31" s="99"/>
      <c r="J31" s="128">
        <v>4.7</v>
      </c>
      <c r="K31" s="127" t="s">
        <v>64</v>
      </c>
      <c r="L31" s="128">
        <v>4</v>
      </c>
      <c r="M31" s="128">
        <v>4.7</v>
      </c>
    </row>
    <row r="32" spans="1:13" ht="12.75">
      <c r="A32" s="3" t="s">
        <v>28</v>
      </c>
      <c r="B32" s="128">
        <v>77.1</v>
      </c>
      <c r="C32" s="99"/>
      <c r="D32" s="128">
        <v>77.9</v>
      </c>
      <c r="E32" s="128"/>
      <c r="F32" s="128">
        <v>79.3</v>
      </c>
      <c r="G32" s="128">
        <v>74.1</v>
      </c>
      <c r="H32" s="128">
        <v>75.7</v>
      </c>
      <c r="I32" s="99"/>
      <c r="J32" s="128">
        <v>50.8</v>
      </c>
      <c r="K32" s="128">
        <v>8.6</v>
      </c>
      <c r="L32" s="128">
        <v>39.8</v>
      </c>
      <c r="M32" s="128">
        <v>49.9</v>
      </c>
    </row>
    <row r="33" spans="1:13" ht="12.75">
      <c r="A33" s="3" t="s">
        <v>20</v>
      </c>
      <c r="B33" s="128">
        <v>7.5</v>
      </c>
      <c r="C33" s="99"/>
      <c r="D33" s="128">
        <v>8.4</v>
      </c>
      <c r="E33" s="128"/>
      <c r="F33" s="128">
        <v>11.7</v>
      </c>
      <c r="G33" s="128">
        <v>11.8</v>
      </c>
      <c r="H33" s="128">
        <v>10.9</v>
      </c>
      <c r="I33" s="99"/>
      <c r="J33" s="128">
        <v>23.9</v>
      </c>
      <c r="K33" s="128">
        <v>47.1</v>
      </c>
      <c r="L33" s="128">
        <v>25.5</v>
      </c>
      <c r="M33" s="128">
        <v>24</v>
      </c>
    </row>
    <row r="34" spans="1:13" ht="12.75">
      <c r="A34" s="3" t="s">
        <v>21</v>
      </c>
      <c r="B34" s="128">
        <v>5.9</v>
      </c>
      <c r="C34" s="99"/>
      <c r="D34" s="128">
        <v>3.2</v>
      </c>
      <c r="E34" s="128"/>
      <c r="F34" s="128">
        <v>3.8</v>
      </c>
      <c r="G34" s="128">
        <v>5.7</v>
      </c>
      <c r="H34" s="128">
        <v>5.1</v>
      </c>
      <c r="I34" s="99"/>
      <c r="J34" s="128">
        <v>9.2</v>
      </c>
      <c r="K34" s="128">
        <v>16.7</v>
      </c>
      <c r="L34" s="128">
        <v>13.8</v>
      </c>
      <c r="M34" s="128">
        <v>9.6</v>
      </c>
    </row>
    <row r="35" spans="1:13" ht="12.75">
      <c r="A35" s="3" t="s">
        <v>22</v>
      </c>
      <c r="B35" s="128">
        <v>4.4</v>
      </c>
      <c r="C35" s="99"/>
      <c r="D35" s="128">
        <v>1.7</v>
      </c>
      <c r="E35" s="128"/>
      <c r="F35" s="128">
        <v>2.4</v>
      </c>
      <c r="G35" s="128">
        <v>4.3</v>
      </c>
      <c r="H35" s="128">
        <v>3.6</v>
      </c>
      <c r="I35" s="99"/>
      <c r="J35" s="128">
        <v>6.3</v>
      </c>
      <c r="K35" s="128">
        <v>14.4</v>
      </c>
      <c r="L35" s="128">
        <v>8.5</v>
      </c>
      <c r="M35" s="128">
        <v>6.5</v>
      </c>
    </row>
    <row r="36" spans="1:13" ht="12.75">
      <c r="A36" s="3" t="s">
        <v>23</v>
      </c>
      <c r="B36" s="128">
        <v>3.2</v>
      </c>
      <c r="C36" s="99"/>
      <c r="D36" s="128">
        <v>0.8</v>
      </c>
      <c r="E36" s="128"/>
      <c r="F36" s="128">
        <v>1.7</v>
      </c>
      <c r="G36" s="128">
        <v>2.6</v>
      </c>
      <c r="H36" s="128">
        <v>2.3</v>
      </c>
      <c r="I36" s="99"/>
      <c r="J36" s="128">
        <v>3.6</v>
      </c>
      <c r="K36" s="128">
        <v>8</v>
      </c>
      <c r="L36" s="128">
        <v>5.4</v>
      </c>
      <c r="M36" s="128">
        <v>3.8</v>
      </c>
    </row>
    <row r="37" spans="1:13" ht="12.75">
      <c r="A37" s="3" t="s">
        <v>24</v>
      </c>
      <c r="B37" s="128">
        <v>1.8</v>
      </c>
      <c r="C37" s="99"/>
      <c r="D37" s="128">
        <v>0.2</v>
      </c>
      <c r="E37" s="128"/>
      <c r="F37" s="128">
        <v>1.1</v>
      </c>
      <c r="G37" s="128">
        <v>1.2</v>
      </c>
      <c r="H37" s="128">
        <v>1.1</v>
      </c>
      <c r="I37" s="99"/>
      <c r="J37" s="128">
        <v>1.3</v>
      </c>
      <c r="K37" s="128">
        <v>4.6</v>
      </c>
      <c r="L37" s="128">
        <v>2.6</v>
      </c>
      <c r="M37" s="128">
        <v>1.4</v>
      </c>
    </row>
    <row r="38" spans="1:13" ht="12.75">
      <c r="A38" s="3" t="s">
        <v>25</v>
      </c>
      <c r="B38" s="128">
        <v>0.2</v>
      </c>
      <c r="C38" s="99"/>
      <c r="D38" s="128">
        <v>0</v>
      </c>
      <c r="E38" s="128"/>
      <c r="F38" s="128">
        <v>0.1</v>
      </c>
      <c r="G38" s="128">
        <v>0.2</v>
      </c>
      <c r="H38" s="128">
        <v>0.1</v>
      </c>
      <c r="I38" s="99"/>
      <c r="J38" s="128">
        <v>0.1</v>
      </c>
      <c r="K38" s="128">
        <v>0.6</v>
      </c>
      <c r="L38" s="128">
        <v>0.3</v>
      </c>
      <c r="M38" s="128">
        <v>0.2</v>
      </c>
    </row>
    <row r="39" spans="1:13" ht="12.75">
      <c r="A39" s="3" t="s">
        <v>26</v>
      </c>
      <c r="B39" s="127" t="s">
        <v>64</v>
      </c>
      <c r="C39" s="110"/>
      <c r="D39" s="127" t="s">
        <v>64</v>
      </c>
      <c r="E39" s="127"/>
      <c r="F39" s="127" t="s">
        <v>64</v>
      </c>
      <c r="G39" s="127">
        <v>0</v>
      </c>
      <c r="H39" s="127">
        <v>0</v>
      </c>
      <c r="I39" s="110"/>
      <c r="J39" s="128">
        <v>0</v>
      </c>
      <c r="K39" s="127" t="s">
        <v>64</v>
      </c>
      <c r="L39" s="127">
        <v>0</v>
      </c>
      <c r="M39" s="128">
        <v>0</v>
      </c>
    </row>
    <row r="40" spans="1:13" ht="16.5" customHeight="1">
      <c r="A40" s="3" t="s">
        <v>54</v>
      </c>
      <c r="B40" s="19">
        <v>5910</v>
      </c>
      <c r="C40" s="63"/>
      <c r="D40" s="63">
        <v>9428</v>
      </c>
      <c r="E40" s="63"/>
      <c r="F40" s="63">
        <v>10741</v>
      </c>
      <c r="G40" s="63">
        <v>42272</v>
      </c>
      <c r="H40" s="63">
        <v>68351</v>
      </c>
      <c r="I40" s="63"/>
      <c r="J40" s="63">
        <v>261684</v>
      </c>
      <c r="K40" s="63">
        <v>174</v>
      </c>
      <c r="L40" s="63">
        <v>22455</v>
      </c>
      <c r="M40" s="63">
        <v>284313</v>
      </c>
    </row>
    <row r="41" spans="1:13" ht="24" customHeight="1">
      <c r="A41" s="181"/>
      <c r="B41" s="182"/>
      <c r="C41" s="19"/>
      <c r="D41" s="19"/>
      <c r="E41" s="19"/>
      <c r="F41" s="19"/>
      <c r="G41" s="19"/>
      <c r="H41" s="19"/>
      <c r="I41" s="19"/>
      <c r="J41" s="19"/>
      <c r="K41" s="19"/>
      <c r="L41" s="19"/>
      <c r="M41" s="19"/>
    </row>
    <row r="42" spans="1:13" ht="36.75" customHeight="1">
      <c r="A42" s="183" t="s">
        <v>117</v>
      </c>
      <c r="B42" s="184"/>
      <c r="C42" s="168"/>
      <c r="D42" s="168"/>
      <c r="E42" s="168"/>
      <c r="F42" s="168"/>
      <c r="G42" s="168"/>
      <c r="H42" s="168"/>
      <c r="I42" s="168"/>
      <c r="J42" s="168"/>
      <c r="K42" s="168"/>
      <c r="L42" s="168"/>
      <c r="M42" s="168"/>
    </row>
    <row r="43" spans="1:13" ht="12.75" customHeight="1">
      <c r="A43" s="16"/>
      <c r="B43" s="16"/>
      <c r="C43" s="16"/>
      <c r="D43" s="16"/>
      <c r="E43" s="16"/>
      <c r="F43" s="16"/>
      <c r="G43" s="16"/>
      <c r="H43" s="16"/>
      <c r="I43" s="16"/>
      <c r="J43" s="16"/>
      <c r="K43" s="16"/>
      <c r="L43" s="16"/>
      <c r="M43" s="16"/>
    </row>
    <row r="44" spans="1:13" ht="12.75" hidden="1">
      <c r="A44" s="16"/>
      <c r="B44" s="16"/>
      <c r="C44" s="16"/>
      <c r="D44" s="16"/>
      <c r="E44" s="16"/>
      <c r="F44" s="16"/>
      <c r="G44" s="16"/>
      <c r="H44" s="16"/>
      <c r="I44" s="16"/>
      <c r="J44" s="16"/>
      <c r="K44" s="16"/>
      <c r="L44" s="16"/>
      <c r="M44" s="16"/>
    </row>
    <row r="45" ht="12.75">
      <c r="A45" s="28"/>
    </row>
    <row r="50" spans="1:13" ht="12.75">
      <c r="A50" s="60"/>
      <c r="B50" s="17"/>
      <c r="C50" s="17"/>
      <c r="D50" s="17"/>
      <c r="E50" s="17"/>
      <c r="F50" s="17"/>
      <c r="G50" s="17"/>
      <c r="H50" s="17"/>
      <c r="I50" s="17"/>
      <c r="J50" s="17"/>
      <c r="K50" s="17"/>
      <c r="L50" s="17"/>
      <c r="M50" s="17"/>
    </row>
    <row r="51" spans="1:13" ht="12.75">
      <c r="A51" s="17"/>
      <c r="B51" s="17"/>
      <c r="C51" s="17"/>
      <c r="D51" s="17"/>
      <c r="E51" s="17"/>
      <c r="F51" s="17"/>
      <c r="G51" s="17"/>
      <c r="H51" s="17"/>
      <c r="I51" s="17"/>
      <c r="J51" s="17"/>
      <c r="K51" s="17"/>
      <c r="L51" s="17"/>
      <c r="M51" s="17"/>
    </row>
    <row r="52" spans="1:13" ht="12.75">
      <c r="A52" s="17"/>
      <c r="B52" s="17"/>
      <c r="C52" s="17"/>
      <c r="D52" s="17"/>
      <c r="E52" s="17"/>
      <c r="F52" s="17"/>
      <c r="G52" s="17"/>
      <c r="H52" s="17"/>
      <c r="I52" s="17"/>
      <c r="J52" s="17"/>
      <c r="K52" s="17"/>
      <c r="L52" s="17"/>
      <c r="M52" s="17"/>
    </row>
  </sheetData>
  <sheetProtection/>
  <mergeCells count="6">
    <mergeCell ref="A42:M42"/>
    <mergeCell ref="A1:M1"/>
    <mergeCell ref="A3:M3"/>
    <mergeCell ref="D4:H4"/>
    <mergeCell ref="J4:M4"/>
    <mergeCell ref="A41:B41"/>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A1">
      <selection activeCell="D34" sqref="D34:D35"/>
    </sheetView>
  </sheetViews>
  <sheetFormatPr defaultColWidth="9.140625" defaultRowHeight="12.75"/>
  <cols>
    <col min="1" max="1" width="11.28125" style="0" customWidth="1"/>
    <col min="2" max="2" width="9.421875" style="0" customWidth="1"/>
    <col min="3" max="3" width="1.7109375" style="0" customWidth="1"/>
    <col min="4" max="4" width="8.28125" style="0" customWidth="1"/>
    <col min="5" max="5" width="1.421875" style="0" customWidth="1"/>
    <col min="6" max="6" width="7.57421875" style="0" customWidth="1"/>
    <col min="7" max="7" width="7.140625" style="0" customWidth="1"/>
    <col min="9" max="9" width="1.7109375" style="0" customWidth="1"/>
    <col min="10" max="10" width="8.7109375" style="0" customWidth="1"/>
    <col min="11" max="11" width="8.00390625" style="0" customWidth="1"/>
    <col min="12" max="12" width="8.7109375" style="0" customWidth="1"/>
    <col min="13" max="13" width="8.00390625" style="0" customWidth="1"/>
  </cols>
  <sheetData>
    <row r="1" spans="1:13" ht="27" customHeight="1">
      <c r="A1" s="173" t="s">
        <v>210</v>
      </c>
      <c r="B1" s="174"/>
      <c r="C1" s="174"/>
      <c r="D1" s="174"/>
      <c r="E1" s="174"/>
      <c r="F1" s="174"/>
      <c r="G1" s="174"/>
      <c r="H1" s="174"/>
      <c r="I1" s="174"/>
      <c r="J1" s="174"/>
      <c r="K1" s="174"/>
      <c r="L1" s="174"/>
      <c r="M1" s="76"/>
    </row>
    <row r="2" spans="1:13" ht="7.5" customHeight="1">
      <c r="A2" s="75"/>
      <c r="B2" s="76"/>
      <c r="C2" s="76"/>
      <c r="D2" s="76"/>
      <c r="E2" s="76"/>
      <c r="F2" s="76"/>
      <c r="G2" s="76"/>
      <c r="H2" s="76"/>
      <c r="I2" s="76"/>
      <c r="J2" s="76"/>
      <c r="K2" s="76"/>
      <c r="L2" s="76"/>
      <c r="M2" s="76"/>
    </row>
    <row r="3" spans="1:13" ht="27" customHeight="1">
      <c r="A3" s="176" t="s">
        <v>181</v>
      </c>
      <c r="B3" s="176"/>
      <c r="C3" s="176"/>
      <c r="D3" s="176"/>
      <c r="E3" s="176"/>
      <c r="F3" s="176"/>
      <c r="G3" s="176"/>
      <c r="H3" s="176"/>
      <c r="I3" s="176"/>
      <c r="J3" s="176"/>
      <c r="K3" s="176"/>
      <c r="L3" s="176"/>
      <c r="M3" s="26"/>
    </row>
    <row r="4" spans="1:14" ht="24.75" customHeight="1">
      <c r="A4" s="21" t="s">
        <v>135</v>
      </c>
      <c r="B4" s="83" t="s">
        <v>71</v>
      </c>
      <c r="C4" s="82"/>
      <c r="D4" s="179" t="s">
        <v>72</v>
      </c>
      <c r="E4" s="179"/>
      <c r="F4" s="185"/>
      <c r="G4" s="185"/>
      <c r="H4" s="185"/>
      <c r="I4" s="71"/>
      <c r="J4" s="179" t="s">
        <v>74</v>
      </c>
      <c r="K4" s="185"/>
      <c r="L4" s="185"/>
      <c r="M4" s="21"/>
      <c r="N4" s="37"/>
    </row>
    <row r="5" spans="1:14" ht="48" customHeight="1">
      <c r="A5" s="5" t="s">
        <v>177</v>
      </c>
      <c r="B5" s="10" t="s">
        <v>123</v>
      </c>
      <c r="C5" s="10"/>
      <c r="D5" s="10" t="s">
        <v>141</v>
      </c>
      <c r="E5" s="97" t="s">
        <v>143</v>
      </c>
      <c r="F5" s="10" t="s">
        <v>124</v>
      </c>
      <c r="G5" s="10" t="s">
        <v>13</v>
      </c>
      <c r="H5" s="10" t="s">
        <v>59</v>
      </c>
      <c r="I5" s="10"/>
      <c r="J5" s="10" t="s">
        <v>34</v>
      </c>
      <c r="K5" s="10" t="s">
        <v>48</v>
      </c>
      <c r="L5" s="10" t="s">
        <v>55</v>
      </c>
      <c r="M5" s="6"/>
      <c r="N5" s="20"/>
    </row>
    <row r="6" spans="1:14" ht="18.75" customHeight="1">
      <c r="A6" s="89" t="s">
        <v>17</v>
      </c>
      <c r="B6" s="120">
        <v>100</v>
      </c>
      <c r="C6" s="120"/>
      <c r="D6" s="120">
        <v>100</v>
      </c>
      <c r="E6" s="120"/>
      <c r="F6" s="120">
        <v>100</v>
      </c>
      <c r="G6" s="120">
        <v>100</v>
      </c>
      <c r="H6" s="120">
        <v>100</v>
      </c>
      <c r="I6" s="120"/>
      <c r="J6" s="120">
        <v>100</v>
      </c>
      <c r="K6" s="120">
        <v>100</v>
      </c>
      <c r="L6" s="120">
        <v>100</v>
      </c>
      <c r="N6" s="7"/>
    </row>
    <row r="7" spans="1:14" ht="12.75">
      <c r="A7" s="3" t="s">
        <v>186</v>
      </c>
      <c r="B7" s="7">
        <v>3.5</v>
      </c>
      <c r="C7" s="98"/>
      <c r="D7" s="7">
        <v>4.4</v>
      </c>
      <c r="E7" s="98"/>
      <c r="F7" s="7">
        <v>6.7</v>
      </c>
      <c r="G7" s="7">
        <v>4.8</v>
      </c>
      <c r="H7" s="7">
        <v>4.5</v>
      </c>
      <c r="I7" s="98"/>
      <c r="J7" s="124">
        <v>0.1</v>
      </c>
      <c r="K7" s="7">
        <v>7.1</v>
      </c>
      <c r="L7" s="7">
        <v>0.5</v>
      </c>
      <c r="N7" s="4"/>
    </row>
    <row r="8" spans="1:14" ht="12.75">
      <c r="A8" s="3" t="s">
        <v>20</v>
      </c>
      <c r="B8" s="7">
        <v>23.3</v>
      </c>
      <c r="C8" s="98"/>
      <c r="D8" s="7">
        <v>33.3</v>
      </c>
      <c r="E8" s="98"/>
      <c r="F8" s="7">
        <v>22.2</v>
      </c>
      <c r="G8" s="7">
        <v>23.3</v>
      </c>
      <c r="H8" s="7">
        <v>23.2</v>
      </c>
      <c r="I8" s="98"/>
      <c r="J8" s="7">
        <v>4.4</v>
      </c>
      <c r="K8" s="7">
        <v>14.3</v>
      </c>
      <c r="L8" s="7">
        <v>5</v>
      </c>
      <c r="N8" s="4"/>
    </row>
    <row r="9" spans="1:14" ht="12.75">
      <c r="A9" s="3" t="s">
        <v>21</v>
      </c>
      <c r="B9" s="7">
        <v>26</v>
      </c>
      <c r="C9" s="98"/>
      <c r="D9" s="7">
        <v>26.7</v>
      </c>
      <c r="E9" s="98"/>
      <c r="F9" s="7">
        <v>22.5</v>
      </c>
      <c r="G9" s="7">
        <v>24.9</v>
      </c>
      <c r="H9" s="7">
        <v>25.1</v>
      </c>
      <c r="I9" s="98"/>
      <c r="J9" s="7">
        <v>18.3</v>
      </c>
      <c r="K9" s="7">
        <v>28.6</v>
      </c>
      <c r="L9" s="7">
        <v>18.9</v>
      </c>
      <c r="N9" s="4"/>
    </row>
    <row r="10" spans="1:14" ht="12.75">
      <c r="A10" s="3" t="s">
        <v>22</v>
      </c>
      <c r="B10" s="7">
        <v>22.2</v>
      </c>
      <c r="C10" s="98"/>
      <c r="D10" s="7">
        <v>8.9</v>
      </c>
      <c r="E10" s="98"/>
      <c r="F10" s="7">
        <v>21.8</v>
      </c>
      <c r="G10" s="7">
        <v>21.5</v>
      </c>
      <c r="H10" s="7">
        <v>21.7</v>
      </c>
      <c r="I10" s="98"/>
      <c r="J10" s="7">
        <v>21.6</v>
      </c>
      <c r="K10" s="7">
        <v>25</v>
      </c>
      <c r="L10" s="7">
        <v>21.8</v>
      </c>
      <c r="N10" s="4"/>
    </row>
    <row r="11" spans="1:14" ht="12.75">
      <c r="A11" s="3" t="s">
        <v>23</v>
      </c>
      <c r="B11" s="7">
        <v>15.9</v>
      </c>
      <c r="C11" s="98"/>
      <c r="D11" s="7">
        <v>17.8</v>
      </c>
      <c r="E11" s="98"/>
      <c r="F11" s="7">
        <v>15.9</v>
      </c>
      <c r="G11" s="7">
        <v>15.2</v>
      </c>
      <c r="H11" s="7">
        <v>15.5</v>
      </c>
      <c r="I11" s="98"/>
      <c r="J11" s="7">
        <v>24.2</v>
      </c>
      <c r="K11" s="7">
        <v>21.4</v>
      </c>
      <c r="L11" s="7">
        <v>24</v>
      </c>
      <c r="N11" s="4"/>
    </row>
    <row r="12" spans="1:14" ht="12.75">
      <c r="A12" s="3" t="s">
        <v>24</v>
      </c>
      <c r="B12" s="7">
        <v>8.3</v>
      </c>
      <c r="C12" s="98"/>
      <c r="D12" s="7">
        <v>8.9</v>
      </c>
      <c r="E12" s="98"/>
      <c r="F12" s="7">
        <v>9.6</v>
      </c>
      <c r="G12" s="7">
        <v>8.3</v>
      </c>
      <c r="H12" s="7">
        <v>8.4</v>
      </c>
      <c r="I12" s="98"/>
      <c r="J12" s="7">
        <v>24</v>
      </c>
      <c r="K12" s="7">
        <v>1.8</v>
      </c>
      <c r="L12" s="7">
        <v>22.7</v>
      </c>
      <c r="N12" s="4"/>
    </row>
    <row r="13" spans="1:14" ht="12.75">
      <c r="A13" s="3" t="s">
        <v>25</v>
      </c>
      <c r="B13" s="7">
        <v>0.8</v>
      </c>
      <c r="C13" s="98"/>
      <c r="D13" s="124" t="s">
        <v>64</v>
      </c>
      <c r="E13" s="109"/>
      <c r="F13" s="7">
        <v>1.2</v>
      </c>
      <c r="G13" s="7">
        <v>1.9</v>
      </c>
      <c r="H13" s="7">
        <v>1.5</v>
      </c>
      <c r="I13" s="98"/>
      <c r="J13" s="7">
        <v>7</v>
      </c>
      <c r="K13" s="124">
        <v>1.8</v>
      </c>
      <c r="L13" s="7">
        <v>6.7</v>
      </c>
      <c r="N13" s="4"/>
    </row>
    <row r="14" spans="1:14" ht="12.75">
      <c r="A14" s="3" t="s">
        <v>26</v>
      </c>
      <c r="B14" s="124" t="s">
        <v>64</v>
      </c>
      <c r="C14" s="98"/>
      <c r="D14" s="129" t="s">
        <v>64</v>
      </c>
      <c r="E14" s="123"/>
      <c r="F14" s="129" t="s">
        <v>64</v>
      </c>
      <c r="G14" s="7">
        <v>0.1</v>
      </c>
      <c r="H14" s="7">
        <v>0</v>
      </c>
      <c r="I14" s="98"/>
      <c r="J14" s="7">
        <v>0.4</v>
      </c>
      <c r="K14" s="124" t="s">
        <v>64</v>
      </c>
      <c r="L14" s="7">
        <v>0.4</v>
      </c>
      <c r="N14" s="4"/>
    </row>
    <row r="15" spans="1:14" ht="12.75">
      <c r="A15" s="3" t="s">
        <v>182</v>
      </c>
      <c r="B15" s="4">
        <v>8444</v>
      </c>
      <c r="C15" s="4"/>
      <c r="D15" s="4">
        <v>45</v>
      </c>
      <c r="E15" s="4"/>
      <c r="F15" s="4">
        <v>1735</v>
      </c>
      <c r="G15" s="4">
        <v>15620</v>
      </c>
      <c r="H15" s="4">
        <v>25844</v>
      </c>
      <c r="I15" s="4"/>
      <c r="J15" s="4">
        <v>909</v>
      </c>
      <c r="K15" s="4">
        <v>56</v>
      </c>
      <c r="L15" s="4">
        <v>965</v>
      </c>
      <c r="N15" s="4"/>
    </row>
    <row r="16" spans="1:14" ht="12.75">
      <c r="A16" s="3"/>
      <c r="B16" s="92"/>
      <c r="C16" s="92"/>
      <c r="D16" s="92"/>
      <c r="E16" s="92"/>
      <c r="F16" s="92"/>
      <c r="G16" s="92"/>
      <c r="H16" s="92"/>
      <c r="I16" s="92"/>
      <c r="J16" s="92"/>
      <c r="K16" s="92"/>
      <c r="L16" s="92"/>
      <c r="N16" s="4"/>
    </row>
    <row r="17" spans="1:14" ht="16.5" customHeight="1">
      <c r="A17" s="14" t="s">
        <v>19</v>
      </c>
      <c r="B17" s="121">
        <v>100</v>
      </c>
      <c r="C17" s="121"/>
      <c r="D17" s="121">
        <v>100</v>
      </c>
      <c r="E17" s="121"/>
      <c r="F17" s="121">
        <v>100</v>
      </c>
      <c r="G17" s="121">
        <v>100</v>
      </c>
      <c r="H17" s="121">
        <v>100</v>
      </c>
      <c r="I17" s="121"/>
      <c r="J17" s="121">
        <v>100</v>
      </c>
      <c r="K17" s="121">
        <v>100</v>
      </c>
      <c r="L17" s="121">
        <v>100</v>
      </c>
      <c r="N17" s="4"/>
    </row>
    <row r="18" spans="1:14" ht="12.75">
      <c r="A18" s="3" t="s">
        <v>186</v>
      </c>
      <c r="B18" s="7">
        <v>4.2</v>
      </c>
      <c r="C18" s="98"/>
      <c r="D18" s="7">
        <v>18.8</v>
      </c>
      <c r="E18" s="98"/>
      <c r="F18" s="7">
        <v>11.2</v>
      </c>
      <c r="G18" s="7">
        <v>7.2</v>
      </c>
      <c r="H18" s="7">
        <v>6.6</v>
      </c>
      <c r="I18" s="98"/>
      <c r="J18" s="124" t="s">
        <v>64</v>
      </c>
      <c r="K18" s="7">
        <v>4.8</v>
      </c>
      <c r="L18" s="7">
        <v>3.6</v>
      </c>
      <c r="N18" s="4"/>
    </row>
    <row r="19" spans="1:14" ht="12.75">
      <c r="A19" s="3" t="s">
        <v>20</v>
      </c>
      <c r="B19" s="7">
        <v>25</v>
      </c>
      <c r="C19" s="98"/>
      <c r="D19" s="7">
        <v>25</v>
      </c>
      <c r="E19" s="98"/>
      <c r="F19" s="7">
        <v>33.7</v>
      </c>
      <c r="G19" s="7">
        <v>30.4</v>
      </c>
      <c r="H19" s="7">
        <v>28.8</v>
      </c>
      <c r="I19" s="98"/>
      <c r="J19" s="124">
        <v>11.4</v>
      </c>
      <c r="K19" s="7">
        <v>41.3</v>
      </c>
      <c r="L19" s="7">
        <v>33.8</v>
      </c>
      <c r="N19" s="4"/>
    </row>
    <row r="20" spans="1:14" ht="12.75">
      <c r="A20" s="3" t="s">
        <v>21</v>
      </c>
      <c r="B20" s="7">
        <v>21.8</v>
      </c>
      <c r="C20" s="98"/>
      <c r="D20" s="7">
        <v>6.3</v>
      </c>
      <c r="E20" s="98"/>
      <c r="F20" s="7">
        <v>17.3</v>
      </c>
      <c r="G20" s="7">
        <v>21.3</v>
      </c>
      <c r="H20" s="7">
        <v>21</v>
      </c>
      <c r="I20" s="98"/>
      <c r="J20" s="7">
        <v>17.1</v>
      </c>
      <c r="K20" s="7">
        <v>21.2</v>
      </c>
      <c r="L20" s="7">
        <v>20.1</v>
      </c>
      <c r="N20" s="4"/>
    </row>
    <row r="21" spans="1:14" ht="12.75">
      <c r="A21" s="3" t="s">
        <v>22</v>
      </c>
      <c r="B21" s="7">
        <v>20.8</v>
      </c>
      <c r="C21" s="98"/>
      <c r="D21" s="7">
        <v>31.3</v>
      </c>
      <c r="E21" s="98"/>
      <c r="F21" s="7">
        <v>14.8</v>
      </c>
      <c r="G21" s="7">
        <v>17.7</v>
      </c>
      <c r="H21" s="7">
        <v>18.5</v>
      </c>
      <c r="I21" s="98"/>
      <c r="J21" s="7">
        <v>20</v>
      </c>
      <c r="K21" s="7">
        <v>17.3</v>
      </c>
      <c r="L21" s="7">
        <v>18</v>
      </c>
      <c r="N21" s="4"/>
    </row>
    <row r="22" spans="1:14" ht="12.75">
      <c r="A22" s="3" t="s">
        <v>23</v>
      </c>
      <c r="B22" s="7">
        <v>15.4</v>
      </c>
      <c r="C22" s="98"/>
      <c r="D22" s="7">
        <v>6.3</v>
      </c>
      <c r="E22" s="98"/>
      <c r="F22" s="7">
        <v>14.4</v>
      </c>
      <c r="G22" s="7">
        <v>13.6</v>
      </c>
      <c r="H22" s="7">
        <v>14.3</v>
      </c>
      <c r="I22" s="98"/>
      <c r="J22" s="7">
        <v>25.7</v>
      </c>
      <c r="K22" s="7">
        <v>10.6</v>
      </c>
      <c r="L22" s="7">
        <v>14.4</v>
      </c>
      <c r="N22" s="4"/>
    </row>
    <row r="23" spans="1:14" ht="12.75">
      <c r="A23" s="3" t="s">
        <v>24</v>
      </c>
      <c r="B23" s="7">
        <v>11.6</v>
      </c>
      <c r="C23" s="98"/>
      <c r="D23" s="124">
        <v>12.5</v>
      </c>
      <c r="E23" s="109"/>
      <c r="F23" s="7">
        <v>7.6</v>
      </c>
      <c r="G23" s="7">
        <v>8.4</v>
      </c>
      <c r="H23" s="7">
        <v>9.4</v>
      </c>
      <c r="I23" s="98"/>
      <c r="J23" s="7">
        <v>20</v>
      </c>
      <c r="K23" s="7">
        <v>2.9</v>
      </c>
      <c r="L23" s="7">
        <v>7.2</v>
      </c>
      <c r="N23" s="4"/>
    </row>
    <row r="24" spans="1:14" ht="12.75">
      <c r="A24" s="3" t="s">
        <v>25</v>
      </c>
      <c r="B24" s="7">
        <v>1.2</v>
      </c>
      <c r="C24" s="98"/>
      <c r="D24" s="124" t="s">
        <v>64</v>
      </c>
      <c r="E24" s="109"/>
      <c r="F24" s="124">
        <v>0.9</v>
      </c>
      <c r="G24" s="7">
        <v>1.4</v>
      </c>
      <c r="H24" s="7">
        <v>1.3</v>
      </c>
      <c r="I24" s="98"/>
      <c r="J24" s="7">
        <v>2.9</v>
      </c>
      <c r="K24" s="124">
        <v>1.9</v>
      </c>
      <c r="L24" s="7">
        <v>2.2</v>
      </c>
      <c r="N24" s="4"/>
    </row>
    <row r="25" spans="1:14" ht="12.75">
      <c r="A25" s="3" t="s">
        <v>26</v>
      </c>
      <c r="B25" s="124" t="s">
        <v>64</v>
      </c>
      <c r="C25" s="123"/>
      <c r="D25" s="124" t="s">
        <v>64</v>
      </c>
      <c r="E25" s="109"/>
      <c r="F25" s="124">
        <v>0.1</v>
      </c>
      <c r="G25" s="7">
        <v>0.1</v>
      </c>
      <c r="H25" s="7">
        <v>0</v>
      </c>
      <c r="I25" s="98"/>
      <c r="J25" s="124">
        <v>2.9</v>
      </c>
      <c r="K25" s="124" t="s">
        <v>64</v>
      </c>
      <c r="L25" s="124">
        <v>0.7</v>
      </c>
      <c r="N25" s="4"/>
    </row>
    <row r="26" spans="1:14" ht="12.75">
      <c r="A26" s="21" t="s">
        <v>183</v>
      </c>
      <c r="B26" s="19">
        <v>3202</v>
      </c>
      <c r="C26" s="19"/>
      <c r="D26" s="19">
        <v>16</v>
      </c>
      <c r="E26" s="19"/>
      <c r="F26" s="19">
        <v>918</v>
      </c>
      <c r="G26" s="19">
        <v>5071</v>
      </c>
      <c r="H26" s="19">
        <v>9207</v>
      </c>
      <c r="I26" s="19"/>
      <c r="J26" s="19">
        <v>35</v>
      </c>
      <c r="K26" s="19">
        <v>104</v>
      </c>
      <c r="L26" s="19">
        <v>139</v>
      </c>
      <c r="N26" s="19"/>
    </row>
    <row r="27" spans="1:14" ht="12.75">
      <c r="A27" s="21"/>
      <c r="B27" s="93"/>
      <c r="C27" s="93"/>
      <c r="D27" s="93"/>
      <c r="E27" s="93"/>
      <c r="F27" s="93"/>
      <c r="G27" s="93"/>
      <c r="H27" s="93"/>
      <c r="I27" s="93"/>
      <c r="J27" s="93"/>
      <c r="K27" s="93"/>
      <c r="L27" s="93"/>
      <c r="N27" s="19"/>
    </row>
    <row r="28" spans="1:12" ht="16.5" customHeight="1">
      <c r="A28" s="14" t="s">
        <v>57</v>
      </c>
      <c r="B28" s="122">
        <v>100</v>
      </c>
      <c r="C28" s="122"/>
      <c r="D28" s="122">
        <v>100</v>
      </c>
      <c r="E28" s="122"/>
      <c r="F28" s="122">
        <v>100</v>
      </c>
      <c r="G28" s="122">
        <v>100</v>
      </c>
      <c r="H28" s="122">
        <v>100</v>
      </c>
      <c r="I28" s="122"/>
      <c r="J28" s="122">
        <v>100</v>
      </c>
      <c r="K28" s="122">
        <v>100</v>
      </c>
      <c r="L28" s="122">
        <v>100</v>
      </c>
    </row>
    <row r="29" spans="1:12" ht="12.75">
      <c r="A29" s="3" t="s">
        <v>186</v>
      </c>
      <c r="B29" s="128">
        <v>3.7</v>
      </c>
      <c r="C29" s="99"/>
      <c r="D29" s="128">
        <v>8.2</v>
      </c>
      <c r="E29" s="99"/>
      <c r="F29" s="128">
        <v>8.3</v>
      </c>
      <c r="G29" s="128">
        <v>5.4</v>
      </c>
      <c r="H29" s="128">
        <v>5.1</v>
      </c>
      <c r="I29" s="99"/>
      <c r="J29" s="127">
        <v>0.1</v>
      </c>
      <c r="K29" s="128">
        <v>5.6</v>
      </c>
      <c r="L29" s="128">
        <v>0.9</v>
      </c>
    </row>
    <row r="30" spans="1:12" ht="12.75">
      <c r="A30" s="3" t="s">
        <v>20</v>
      </c>
      <c r="B30" s="128">
        <v>23.8</v>
      </c>
      <c r="C30" s="99"/>
      <c r="D30" s="128">
        <v>31.1</v>
      </c>
      <c r="E30" s="99"/>
      <c r="F30" s="128">
        <v>26.2</v>
      </c>
      <c r="G30" s="128">
        <v>25</v>
      </c>
      <c r="H30" s="128">
        <v>24.7</v>
      </c>
      <c r="I30" s="99"/>
      <c r="J30" s="128">
        <v>4.7</v>
      </c>
      <c r="K30" s="128">
        <v>31.9</v>
      </c>
      <c r="L30" s="128">
        <v>8.6</v>
      </c>
    </row>
    <row r="31" spans="1:12" ht="12.75">
      <c r="A31" s="3" t="s">
        <v>21</v>
      </c>
      <c r="B31" s="128">
        <v>24.8</v>
      </c>
      <c r="C31" s="99"/>
      <c r="D31" s="128">
        <v>21.3</v>
      </c>
      <c r="E31" s="99"/>
      <c r="F31" s="128">
        <v>20.7</v>
      </c>
      <c r="G31" s="128">
        <v>24</v>
      </c>
      <c r="H31" s="128">
        <v>24</v>
      </c>
      <c r="I31" s="99"/>
      <c r="J31" s="128">
        <v>18.2</v>
      </c>
      <c r="K31" s="128">
        <v>23.8</v>
      </c>
      <c r="L31" s="128">
        <v>19</v>
      </c>
    </row>
    <row r="32" spans="1:12" ht="12.75">
      <c r="A32" s="3" t="s">
        <v>22</v>
      </c>
      <c r="B32" s="128">
        <v>21.8</v>
      </c>
      <c r="C32" s="99"/>
      <c r="D32" s="128">
        <v>14.8</v>
      </c>
      <c r="E32" s="99"/>
      <c r="F32" s="128">
        <v>19.4</v>
      </c>
      <c r="G32" s="128">
        <v>20.6</v>
      </c>
      <c r="H32" s="128">
        <v>20.9</v>
      </c>
      <c r="I32" s="99"/>
      <c r="J32" s="128">
        <v>21.5</v>
      </c>
      <c r="K32" s="128">
        <v>20</v>
      </c>
      <c r="L32" s="128">
        <v>21.3</v>
      </c>
    </row>
    <row r="33" spans="1:12" ht="12.75">
      <c r="A33" s="3" t="s">
        <v>23</v>
      </c>
      <c r="B33" s="128">
        <v>15.8</v>
      </c>
      <c r="C33" s="99"/>
      <c r="D33" s="128">
        <v>14.8</v>
      </c>
      <c r="E33" s="99"/>
      <c r="F33" s="128">
        <v>15.4</v>
      </c>
      <c r="G33" s="128">
        <v>14.8</v>
      </c>
      <c r="H33" s="128">
        <v>15.2</v>
      </c>
      <c r="I33" s="99"/>
      <c r="J33" s="128">
        <v>24.3</v>
      </c>
      <c r="K33" s="128">
        <v>14.4</v>
      </c>
      <c r="L33" s="128">
        <v>22.8</v>
      </c>
    </row>
    <row r="34" spans="1:12" ht="12.75">
      <c r="A34" s="3" t="s">
        <v>24</v>
      </c>
      <c r="B34" s="128">
        <v>9.2</v>
      </c>
      <c r="C34" s="99"/>
      <c r="D34" s="128">
        <v>9.8</v>
      </c>
      <c r="E34" s="99"/>
      <c r="F34" s="128">
        <v>8.9</v>
      </c>
      <c r="G34" s="128">
        <v>8.3</v>
      </c>
      <c r="H34" s="128">
        <v>8.7</v>
      </c>
      <c r="I34" s="99"/>
      <c r="J34" s="128">
        <v>23.8</v>
      </c>
      <c r="K34" s="128">
        <v>2.5</v>
      </c>
      <c r="L34" s="128">
        <v>20.7</v>
      </c>
    </row>
    <row r="35" spans="1:12" ht="12.75">
      <c r="A35" s="3" t="s">
        <v>25</v>
      </c>
      <c r="B35" s="128">
        <v>0.9</v>
      </c>
      <c r="C35" s="99"/>
      <c r="D35" s="127" t="s">
        <v>64</v>
      </c>
      <c r="E35" s="110"/>
      <c r="F35" s="128">
        <v>1.1</v>
      </c>
      <c r="G35" s="128">
        <v>1.7</v>
      </c>
      <c r="H35" s="128">
        <v>1.4</v>
      </c>
      <c r="I35" s="99"/>
      <c r="J35" s="128">
        <v>6.9</v>
      </c>
      <c r="K35" s="127">
        <v>1.9</v>
      </c>
      <c r="L35" s="128">
        <v>6.2</v>
      </c>
    </row>
    <row r="36" spans="1:12" ht="12.75">
      <c r="A36" s="3" t="s">
        <v>26</v>
      </c>
      <c r="B36" s="127" t="s">
        <v>64</v>
      </c>
      <c r="C36" s="99"/>
      <c r="D36" s="127" t="s">
        <v>64</v>
      </c>
      <c r="E36" s="110"/>
      <c r="F36" s="127" t="s">
        <v>64</v>
      </c>
      <c r="G36" s="128">
        <v>0.1</v>
      </c>
      <c r="H36" s="128">
        <v>0</v>
      </c>
      <c r="I36" s="99"/>
      <c r="J36" s="128">
        <v>0.5</v>
      </c>
      <c r="K36" s="127" t="s">
        <v>64</v>
      </c>
      <c r="L36" s="128">
        <v>0.5</v>
      </c>
    </row>
    <row r="37" spans="1:13" ht="16.5" customHeight="1">
      <c r="A37" s="3" t="s">
        <v>54</v>
      </c>
      <c r="B37" s="19">
        <v>11646</v>
      </c>
      <c r="C37" s="63"/>
      <c r="D37" s="63">
        <v>61</v>
      </c>
      <c r="E37" s="63"/>
      <c r="F37" s="63">
        <v>2652</v>
      </c>
      <c r="G37" s="63">
        <v>20691</v>
      </c>
      <c r="H37" s="63">
        <v>35051</v>
      </c>
      <c r="I37" s="63"/>
      <c r="J37" s="63">
        <v>944</v>
      </c>
      <c r="K37" s="63">
        <v>160</v>
      </c>
      <c r="L37" s="63">
        <v>1104</v>
      </c>
      <c r="M37" s="6"/>
    </row>
    <row r="38" spans="1:13" ht="24" customHeight="1">
      <c r="A38" s="87"/>
      <c r="B38" s="88"/>
      <c r="C38" s="19"/>
      <c r="D38" s="19"/>
      <c r="E38" s="19"/>
      <c r="F38" s="19"/>
      <c r="G38" s="19"/>
      <c r="H38" s="19"/>
      <c r="I38" s="19"/>
      <c r="J38" s="19"/>
      <c r="K38" s="19"/>
      <c r="L38" s="19"/>
      <c r="M38" s="6"/>
    </row>
    <row r="39" spans="1:13" ht="69.75" customHeight="1">
      <c r="A39" s="167" t="s">
        <v>187</v>
      </c>
      <c r="B39" s="174"/>
      <c r="C39" s="174"/>
      <c r="D39" s="174"/>
      <c r="E39" s="174"/>
      <c r="F39" s="174"/>
      <c r="G39" s="174"/>
      <c r="H39" s="174"/>
      <c r="I39" s="174"/>
      <c r="J39" s="174"/>
      <c r="K39" s="174"/>
      <c r="L39" s="174"/>
      <c r="M39" s="26"/>
    </row>
    <row r="40" ht="12.75">
      <c r="A40" s="28"/>
    </row>
    <row r="41" spans="1:11" ht="12.75">
      <c r="A41" s="28"/>
      <c r="B41" s="28"/>
      <c r="C41" s="28"/>
      <c r="D41" s="28"/>
      <c r="E41" s="28"/>
      <c r="F41" s="28"/>
      <c r="G41" s="28"/>
      <c r="H41" s="28"/>
      <c r="I41" s="28"/>
      <c r="J41" s="28"/>
      <c r="K41" s="28"/>
    </row>
    <row r="42" ht="12.75">
      <c r="A42" s="28"/>
    </row>
    <row r="51" ht="12.75">
      <c r="A51" s="28"/>
    </row>
    <row r="52" ht="12.75">
      <c r="A52" s="28"/>
    </row>
    <row r="53" spans="1:11" ht="12.75">
      <c r="A53" s="28"/>
      <c r="B53" s="28"/>
      <c r="C53" s="28"/>
      <c r="D53" s="28"/>
      <c r="E53" s="28"/>
      <c r="F53" s="28"/>
      <c r="G53" s="28"/>
      <c r="H53" s="28"/>
      <c r="I53" s="28"/>
      <c r="J53" s="28"/>
      <c r="K53" s="28"/>
    </row>
    <row r="54" ht="12.75">
      <c r="A54" s="28"/>
    </row>
  </sheetData>
  <sheetProtection/>
  <mergeCells count="5">
    <mergeCell ref="A39:L39"/>
    <mergeCell ref="A1:L1"/>
    <mergeCell ref="A3:L3"/>
    <mergeCell ref="J4:L4"/>
    <mergeCell ref="D4:H4"/>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2.xml><?xml version="1.0" encoding="utf-8"?>
<worksheet xmlns="http://schemas.openxmlformats.org/spreadsheetml/2006/main" xmlns:r="http://schemas.openxmlformats.org/officeDocument/2006/relationships">
  <dimension ref="A1:J53"/>
  <sheetViews>
    <sheetView zoomScalePageLayoutView="0" workbookViewId="0" topLeftCell="A1">
      <selection activeCell="A32" sqref="A32"/>
    </sheetView>
  </sheetViews>
  <sheetFormatPr defaultColWidth="9.140625" defaultRowHeight="12.75"/>
  <cols>
    <col min="1" max="1" width="21.421875" style="0" customWidth="1"/>
    <col min="2" max="5" width="10.7109375" style="0" customWidth="1"/>
    <col min="6" max="6" width="7.7109375" style="0" customWidth="1"/>
    <col min="7" max="7" width="8.140625" style="0" customWidth="1"/>
    <col min="8" max="8" width="7.28125" style="0" customWidth="1"/>
    <col min="9" max="9" width="7.8515625" style="0" customWidth="1"/>
    <col min="10" max="10" width="8.140625" style="0" customWidth="1"/>
  </cols>
  <sheetData>
    <row r="1" spans="1:10" ht="39.75" customHeight="1">
      <c r="A1" s="173" t="s">
        <v>212</v>
      </c>
      <c r="B1" s="174"/>
      <c r="C1" s="174"/>
      <c r="D1" s="174"/>
      <c r="E1" s="174"/>
      <c r="F1" s="16"/>
      <c r="G1" s="16"/>
      <c r="H1" s="16"/>
      <c r="I1" s="16"/>
      <c r="J1" s="16"/>
    </row>
    <row r="2" spans="1:10" ht="7.5" customHeight="1">
      <c r="A2" s="75"/>
      <c r="B2" s="76"/>
      <c r="C2" s="76"/>
      <c r="D2" s="76"/>
      <c r="E2" s="76"/>
      <c r="F2" s="16"/>
      <c r="G2" s="16"/>
      <c r="H2" s="16"/>
      <c r="I2" s="16"/>
      <c r="J2" s="16"/>
    </row>
    <row r="3" spans="1:10" ht="39.75" customHeight="1">
      <c r="A3" s="176" t="s">
        <v>213</v>
      </c>
      <c r="B3" s="176"/>
      <c r="C3" s="176"/>
      <c r="D3" s="176"/>
      <c r="E3" s="176"/>
      <c r="F3" s="17"/>
      <c r="G3" s="17"/>
      <c r="H3" s="17"/>
      <c r="I3" s="17"/>
      <c r="J3" s="17"/>
    </row>
    <row r="4" spans="1:10" ht="25.5" customHeight="1">
      <c r="A4" s="5" t="s">
        <v>136</v>
      </c>
      <c r="B4" s="59" t="s">
        <v>119</v>
      </c>
      <c r="C4" s="59" t="s">
        <v>118</v>
      </c>
      <c r="D4" s="59" t="s">
        <v>125</v>
      </c>
      <c r="E4" s="59" t="s">
        <v>121</v>
      </c>
      <c r="F4" s="20"/>
      <c r="G4" s="20"/>
      <c r="H4" s="20"/>
      <c r="I4" s="20"/>
      <c r="J4" s="20"/>
    </row>
    <row r="5" spans="1:10" ht="18.75" customHeight="1">
      <c r="A5" s="53" t="s">
        <v>159</v>
      </c>
      <c r="B5" s="53"/>
      <c r="C5" s="54"/>
      <c r="D5" s="54"/>
      <c r="E5" s="54"/>
      <c r="F5" s="54"/>
      <c r="G5" s="54"/>
      <c r="H5" s="54"/>
      <c r="I5" s="54"/>
      <c r="J5" s="54"/>
    </row>
    <row r="6" spans="1:10" ht="18.75" customHeight="1">
      <c r="A6" s="29" t="s">
        <v>15</v>
      </c>
      <c r="B6" s="68">
        <f>B7+B8</f>
        <v>85</v>
      </c>
      <c r="C6" s="69">
        <f>C7+C8</f>
        <v>653</v>
      </c>
      <c r="D6" s="69">
        <f>D7+D8</f>
        <v>4859</v>
      </c>
      <c r="E6" s="69">
        <f>B6+C6+D6</f>
        <v>5597</v>
      </c>
      <c r="F6" s="41"/>
      <c r="G6" s="41"/>
      <c r="H6" s="55"/>
      <c r="I6" s="55"/>
      <c r="J6" s="55"/>
    </row>
    <row r="7" spans="1:10" ht="12.75">
      <c r="A7" s="34" t="s">
        <v>17</v>
      </c>
      <c r="B7" s="40">
        <v>55</v>
      </c>
      <c r="C7" s="41">
        <v>442</v>
      </c>
      <c r="D7" s="41">
        <v>3027</v>
      </c>
      <c r="E7" s="41">
        <f aca="true" t="shared" si="0" ref="E7:E25">B7+C7+D7</f>
        <v>3524</v>
      </c>
      <c r="F7" s="41"/>
      <c r="G7" s="41"/>
      <c r="H7" s="41"/>
      <c r="I7" s="41"/>
      <c r="J7" s="41"/>
    </row>
    <row r="8" spans="1:10" ht="12.75">
      <c r="A8" s="34" t="s">
        <v>16</v>
      </c>
      <c r="B8" s="40">
        <v>30</v>
      </c>
      <c r="C8" s="41">
        <v>211</v>
      </c>
      <c r="D8" s="41">
        <v>1832</v>
      </c>
      <c r="E8" s="41">
        <f t="shared" si="0"/>
        <v>2073</v>
      </c>
      <c r="F8" s="41"/>
      <c r="G8" s="41"/>
      <c r="H8" s="41"/>
      <c r="I8" s="41"/>
      <c r="J8" s="41"/>
    </row>
    <row r="9" spans="1:10" ht="12.75">
      <c r="A9" s="29" t="s">
        <v>18</v>
      </c>
      <c r="B9" s="68">
        <f>B10+B11</f>
        <v>67</v>
      </c>
      <c r="C9" s="69">
        <f>C10+C11</f>
        <v>253</v>
      </c>
      <c r="D9" s="69">
        <f>D10+D11</f>
        <v>944</v>
      </c>
      <c r="E9" s="69">
        <f t="shared" si="0"/>
        <v>1264</v>
      </c>
      <c r="F9" s="41"/>
      <c r="G9" s="41"/>
      <c r="H9" s="41"/>
      <c r="I9" s="41"/>
      <c r="J9" s="41"/>
    </row>
    <row r="10" spans="1:10" ht="12.75">
      <c r="A10" s="34" t="s">
        <v>17</v>
      </c>
      <c r="B10" s="103">
        <v>47</v>
      </c>
      <c r="C10" s="41">
        <f>112+89</f>
        <v>201</v>
      </c>
      <c r="D10" s="41">
        <v>810</v>
      </c>
      <c r="E10" s="41">
        <f t="shared" si="0"/>
        <v>1058</v>
      </c>
      <c r="F10" s="41"/>
      <c r="G10" s="41"/>
      <c r="H10" s="41"/>
      <c r="I10" s="41"/>
      <c r="J10" s="41"/>
    </row>
    <row r="11" spans="1:10" ht="12.75">
      <c r="A11" s="34" t="s">
        <v>16</v>
      </c>
      <c r="B11" s="40">
        <v>20</v>
      </c>
      <c r="C11" s="41">
        <f>24+28</f>
        <v>52</v>
      </c>
      <c r="D11" s="41">
        <v>134</v>
      </c>
      <c r="E11" s="41">
        <f t="shared" si="0"/>
        <v>206</v>
      </c>
      <c r="F11" s="41"/>
      <c r="G11" s="41"/>
      <c r="H11" s="41"/>
      <c r="I11" s="41"/>
      <c r="J11" s="41"/>
    </row>
    <row r="12" spans="1:10" ht="12.75">
      <c r="A12" s="29" t="s">
        <v>53</v>
      </c>
      <c r="B12" s="68">
        <f aca="true" t="shared" si="1" ref="B12:D14">B6+B9</f>
        <v>152</v>
      </c>
      <c r="C12" s="68">
        <f t="shared" si="1"/>
        <v>906</v>
      </c>
      <c r="D12" s="68">
        <f t="shared" si="1"/>
        <v>5803</v>
      </c>
      <c r="E12" s="69">
        <f t="shared" si="0"/>
        <v>6861</v>
      </c>
      <c r="F12" s="28"/>
      <c r="G12" s="28"/>
      <c r="H12" s="28"/>
      <c r="I12" s="28"/>
      <c r="J12" s="28"/>
    </row>
    <row r="13" spans="1:10" ht="12.75">
      <c r="A13" s="34" t="s">
        <v>17</v>
      </c>
      <c r="B13" s="40">
        <f t="shared" si="1"/>
        <v>102</v>
      </c>
      <c r="C13" s="40">
        <f t="shared" si="1"/>
        <v>643</v>
      </c>
      <c r="D13" s="40">
        <f t="shared" si="1"/>
        <v>3837</v>
      </c>
      <c r="E13" s="41">
        <f t="shared" si="0"/>
        <v>4582</v>
      </c>
      <c r="F13" s="28"/>
      <c r="G13" s="28"/>
      <c r="H13" s="28"/>
      <c r="I13" s="28"/>
      <c r="J13" s="28"/>
    </row>
    <row r="14" spans="1:10" ht="12.75">
      <c r="A14" s="34" t="s">
        <v>16</v>
      </c>
      <c r="B14" s="40">
        <f t="shared" si="1"/>
        <v>50</v>
      </c>
      <c r="C14" s="40">
        <f t="shared" si="1"/>
        <v>263</v>
      </c>
      <c r="D14" s="40">
        <f t="shared" si="1"/>
        <v>1966</v>
      </c>
      <c r="E14" s="41">
        <f t="shared" si="0"/>
        <v>2279</v>
      </c>
      <c r="F14" s="28"/>
      <c r="G14" s="28"/>
      <c r="H14" s="28"/>
      <c r="I14" s="28"/>
      <c r="J14" s="28"/>
    </row>
    <row r="15" spans="2:10" ht="16.5" customHeight="1">
      <c r="B15" s="68"/>
      <c r="C15" s="41"/>
      <c r="D15" s="41"/>
      <c r="E15" s="41"/>
      <c r="F15" s="28"/>
      <c r="G15" s="28"/>
      <c r="H15" s="28"/>
      <c r="I15" s="28"/>
      <c r="J15" s="28"/>
    </row>
    <row r="16" spans="1:10" ht="16.5" customHeight="1">
      <c r="A16" s="29" t="s">
        <v>160</v>
      </c>
      <c r="B16" s="68"/>
      <c r="C16" s="41"/>
      <c r="D16" s="41"/>
      <c r="E16" s="41"/>
      <c r="F16" s="28"/>
      <c r="G16" s="28"/>
      <c r="H16" s="28"/>
      <c r="I16" s="28"/>
      <c r="J16" s="28"/>
    </row>
    <row r="17" spans="1:10" ht="18.75" customHeight="1">
      <c r="A17" s="29" t="s">
        <v>15</v>
      </c>
      <c r="B17" s="68">
        <f>B18+B19</f>
        <v>90</v>
      </c>
      <c r="C17" s="69">
        <f>C18+C19</f>
        <v>637</v>
      </c>
      <c r="D17" s="69">
        <f>D18+D19</f>
        <v>3984</v>
      </c>
      <c r="E17" s="69">
        <f t="shared" si="0"/>
        <v>4711</v>
      </c>
      <c r="F17" s="28"/>
      <c r="G17" s="28"/>
      <c r="H17" s="28"/>
      <c r="I17" s="28"/>
      <c r="J17" s="28"/>
    </row>
    <row r="18" spans="1:10" ht="12.75">
      <c r="A18" s="34" t="s">
        <v>17</v>
      </c>
      <c r="B18" s="40">
        <v>61</v>
      </c>
      <c r="C18" s="41">
        <v>402</v>
      </c>
      <c r="D18" s="41">
        <v>2550</v>
      </c>
      <c r="E18" s="41">
        <f t="shared" si="0"/>
        <v>3013</v>
      </c>
      <c r="F18" s="28"/>
      <c r="G18" s="28"/>
      <c r="H18" s="28"/>
      <c r="I18" s="28"/>
      <c r="J18" s="28"/>
    </row>
    <row r="19" spans="1:10" ht="12.75">
      <c r="A19" s="34" t="s">
        <v>16</v>
      </c>
      <c r="B19" s="40">
        <v>29</v>
      </c>
      <c r="C19" s="41">
        <v>235</v>
      </c>
      <c r="D19" s="41">
        <v>1434</v>
      </c>
      <c r="E19" s="41">
        <f t="shared" si="0"/>
        <v>1698</v>
      </c>
      <c r="F19" s="28"/>
      <c r="G19" s="28"/>
      <c r="H19" s="28"/>
      <c r="I19" s="28"/>
      <c r="J19" s="28"/>
    </row>
    <row r="20" spans="1:10" ht="12.75">
      <c r="A20" s="29" t="s">
        <v>18</v>
      </c>
      <c r="B20" s="68">
        <f>B21+B22</f>
        <v>45</v>
      </c>
      <c r="C20" s="69">
        <f>C21+C22</f>
        <v>220</v>
      </c>
      <c r="D20" s="69">
        <f>D21+D22</f>
        <v>858</v>
      </c>
      <c r="E20" s="69">
        <f t="shared" si="0"/>
        <v>1123</v>
      </c>
      <c r="F20" s="28"/>
      <c r="G20" s="28"/>
      <c r="H20" s="28"/>
      <c r="I20" s="28"/>
      <c r="J20" s="28"/>
    </row>
    <row r="21" spans="1:10" ht="12.75">
      <c r="A21" s="34" t="s">
        <v>17</v>
      </c>
      <c r="B21" s="103">
        <v>33</v>
      </c>
      <c r="C21" s="41">
        <f>80+91</f>
        <v>171</v>
      </c>
      <c r="D21" s="41">
        <v>724</v>
      </c>
      <c r="E21" s="41">
        <f t="shared" si="0"/>
        <v>928</v>
      </c>
      <c r="F21" s="28"/>
      <c r="G21" s="28"/>
      <c r="H21" s="28"/>
      <c r="I21" s="28"/>
      <c r="J21" s="28"/>
    </row>
    <row r="22" spans="1:10" ht="12.75">
      <c r="A22" s="34" t="s">
        <v>16</v>
      </c>
      <c r="B22" s="40">
        <v>12</v>
      </c>
      <c r="C22" s="41">
        <f>24+25</f>
        <v>49</v>
      </c>
      <c r="D22" s="41">
        <v>134</v>
      </c>
      <c r="E22" s="41">
        <f t="shared" si="0"/>
        <v>195</v>
      </c>
      <c r="F22" s="28"/>
      <c r="G22" s="28"/>
      <c r="H22" s="28"/>
      <c r="I22" s="28"/>
      <c r="J22" s="28"/>
    </row>
    <row r="23" spans="1:10" ht="12.75">
      <c r="A23" s="29" t="s">
        <v>53</v>
      </c>
      <c r="B23" s="68">
        <f aca="true" t="shared" si="2" ref="B23:D25">B17+B20</f>
        <v>135</v>
      </c>
      <c r="C23" s="68">
        <f t="shared" si="2"/>
        <v>857</v>
      </c>
      <c r="D23" s="68">
        <f t="shared" si="2"/>
        <v>4842</v>
      </c>
      <c r="E23" s="69">
        <f t="shared" si="0"/>
        <v>5834</v>
      </c>
      <c r="F23" s="28"/>
      <c r="G23" s="28"/>
      <c r="H23" s="28"/>
      <c r="I23" s="28"/>
      <c r="J23" s="28"/>
    </row>
    <row r="24" spans="1:10" ht="12.75">
      <c r="A24" s="34" t="s">
        <v>17</v>
      </c>
      <c r="B24" s="40">
        <f t="shared" si="2"/>
        <v>94</v>
      </c>
      <c r="C24" s="40">
        <f t="shared" si="2"/>
        <v>573</v>
      </c>
      <c r="D24" s="40">
        <f t="shared" si="2"/>
        <v>3274</v>
      </c>
      <c r="E24" s="41">
        <f t="shared" si="0"/>
        <v>3941</v>
      </c>
      <c r="F24" s="28"/>
      <c r="G24" s="28"/>
      <c r="H24" s="28"/>
      <c r="I24" s="28"/>
      <c r="J24" s="28"/>
    </row>
    <row r="25" spans="1:10" ht="12.75">
      <c r="A25" s="35" t="s">
        <v>16</v>
      </c>
      <c r="B25" s="46">
        <f t="shared" si="2"/>
        <v>41</v>
      </c>
      <c r="C25" s="46">
        <f t="shared" si="2"/>
        <v>284</v>
      </c>
      <c r="D25" s="46">
        <f t="shared" si="2"/>
        <v>1568</v>
      </c>
      <c r="E25" s="47">
        <f t="shared" si="0"/>
        <v>1893</v>
      </c>
      <c r="F25" s="39"/>
      <c r="G25" s="39"/>
      <c r="H25" s="39"/>
      <c r="I25" s="39"/>
      <c r="J25" s="39"/>
    </row>
    <row r="26" spans="1:10" ht="24" customHeight="1">
      <c r="A26" s="81"/>
      <c r="B26" s="43"/>
      <c r="C26" s="43"/>
      <c r="D26" s="43"/>
      <c r="E26" s="45"/>
      <c r="F26" s="39"/>
      <c r="G26" s="39"/>
      <c r="H26" s="39"/>
      <c r="I26" s="39"/>
      <c r="J26" s="39"/>
    </row>
    <row r="27" spans="1:10" ht="45.75" customHeight="1">
      <c r="A27" s="167" t="s">
        <v>218</v>
      </c>
      <c r="B27" s="168"/>
      <c r="C27" s="168"/>
      <c r="D27" s="168"/>
      <c r="E27" s="168"/>
      <c r="F27" s="174"/>
      <c r="G27" s="26"/>
      <c r="H27" s="26"/>
      <c r="I27" s="28"/>
      <c r="J27" s="28"/>
    </row>
    <row r="28" spans="1:10" ht="12.75">
      <c r="A28" s="28"/>
      <c r="B28" s="28"/>
      <c r="C28" s="28"/>
      <c r="D28" s="28"/>
      <c r="E28" s="28"/>
      <c r="F28" s="28"/>
      <c r="G28" s="28"/>
      <c r="H28" s="28"/>
      <c r="I28" s="28"/>
      <c r="J28" s="28"/>
    </row>
    <row r="29" spans="1:10" ht="12.75">
      <c r="A29" s="33"/>
      <c r="B29" s="33"/>
      <c r="C29" s="16"/>
      <c r="D29" s="16"/>
      <c r="E29" s="16"/>
      <c r="F29" s="16"/>
      <c r="G29" s="16"/>
      <c r="H29" s="16"/>
      <c r="I29" s="16"/>
      <c r="J29" s="16"/>
    </row>
    <row r="30" spans="1:10" ht="12.75">
      <c r="A30" s="17"/>
      <c r="B30" s="17"/>
      <c r="C30" s="17"/>
      <c r="D30" s="17"/>
      <c r="E30" s="17"/>
      <c r="F30" s="17"/>
      <c r="G30" s="17"/>
      <c r="H30" s="17"/>
      <c r="I30" s="17"/>
      <c r="J30" s="17"/>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sheetData>
  <sheetProtection/>
  <mergeCells count="3">
    <mergeCell ref="A1:E1"/>
    <mergeCell ref="A3:E3"/>
    <mergeCell ref="A27:F27"/>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3.xml><?xml version="1.0" encoding="utf-8"?>
<worksheet xmlns="http://schemas.openxmlformats.org/spreadsheetml/2006/main" xmlns:r="http://schemas.openxmlformats.org/officeDocument/2006/relationships">
  <dimension ref="A1:H27"/>
  <sheetViews>
    <sheetView zoomScalePageLayoutView="0" workbookViewId="0" topLeftCell="A1">
      <selection activeCell="D34" sqref="D34:D35"/>
    </sheetView>
  </sheetViews>
  <sheetFormatPr defaultColWidth="9.140625" defaultRowHeight="12.75"/>
  <cols>
    <col min="1" max="1" width="20.8515625" style="0" customWidth="1"/>
    <col min="2" max="3" width="10.7109375" style="0" customWidth="1"/>
    <col min="4" max="4" width="12.28125" style="0" customWidth="1"/>
    <col min="5" max="5" width="13.140625" style="0" customWidth="1"/>
  </cols>
  <sheetData>
    <row r="1" spans="1:5" ht="39.75" customHeight="1">
      <c r="A1" s="173" t="s">
        <v>214</v>
      </c>
      <c r="B1" s="174"/>
      <c r="C1" s="174"/>
      <c r="D1" s="174"/>
      <c r="E1" s="174"/>
    </row>
    <row r="2" spans="1:5" ht="7.5" customHeight="1">
      <c r="A2" s="75"/>
      <c r="B2" s="76"/>
      <c r="C2" s="76"/>
      <c r="D2" s="76"/>
      <c r="E2" s="76"/>
    </row>
    <row r="3" spans="1:5" ht="39.75" customHeight="1">
      <c r="A3" s="176" t="s">
        <v>216</v>
      </c>
      <c r="B3" s="176"/>
      <c r="C3" s="176"/>
      <c r="D3" s="176"/>
      <c r="E3" s="176"/>
    </row>
    <row r="4" spans="1:5" ht="27.75" customHeight="1">
      <c r="A4" s="5" t="s">
        <v>136</v>
      </c>
      <c r="B4" s="59" t="s">
        <v>119</v>
      </c>
      <c r="C4" s="59" t="s">
        <v>118</v>
      </c>
      <c r="D4" s="59" t="s">
        <v>120</v>
      </c>
      <c r="E4" s="59" t="s">
        <v>121</v>
      </c>
    </row>
    <row r="5" spans="1:5" ht="18.75" customHeight="1">
      <c r="A5" s="53" t="s">
        <v>159</v>
      </c>
      <c r="B5" s="53"/>
      <c r="C5" s="54"/>
      <c r="D5" s="54"/>
      <c r="E5" s="54"/>
    </row>
    <row r="6" spans="1:5" ht="18.75" customHeight="1">
      <c r="A6" s="29" t="s">
        <v>15</v>
      </c>
      <c r="B6" s="69">
        <f>B7+B8</f>
        <v>31</v>
      </c>
      <c r="C6" s="69">
        <f>C7+C8</f>
        <v>450</v>
      </c>
      <c r="D6" s="69">
        <f>D7+D8</f>
        <v>4795</v>
      </c>
      <c r="E6" s="69">
        <f>B6+C6+D6</f>
        <v>5276</v>
      </c>
    </row>
    <row r="7" spans="1:5" ht="12.75">
      <c r="A7" s="34" t="s">
        <v>17</v>
      </c>
      <c r="B7" s="40">
        <v>21</v>
      </c>
      <c r="C7" s="41">
        <v>283</v>
      </c>
      <c r="D7" s="41">
        <v>2973</v>
      </c>
      <c r="E7" s="41">
        <f aca="true" t="shared" si="0" ref="E7:E25">B7+C7+D7</f>
        <v>3277</v>
      </c>
    </row>
    <row r="8" spans="1:5" ht="12.75">
      <c r="A8" s="34" t="s">
        <v>16</v>
      </c>
      <c r="B8" s="40">
        <v>10</v>
      </c>
      <c r="C8" s="41">
        <v>167</v>
      </c>
      <c r="D8" s="41">
        <v>1822</v>
      </c>
      <c r="E8" s="41">
        <f t="shared" si="0"/>
        <v>1999</v>
      </c>
    </row>
    <row r="9" spans="1:5" ht="12.75">
      <c r="A9" s="29" t="s">
        <v>18</v>
      </c>
      <c r="B9" s="68">
        <f>B10+B11</f>
        <v>21</v>
      </c>
      <c r="C9" s="68">
        <f>C10+C11</f>
        <v>109</v>
      </c>
      <c r="D9" s="68">
        <f>D10+D11</f>
        <v>812</v>
      </c>
      <c r="E9" s="69">
        <f t="shared" si="0"/>
        <v>942</v>
      </c>
    </row>
    <row r="10" spans="1:5" ht="12.75">
      <c r="A10" s="34" t="s">
        <v>17</v>
      </c>
      <c r="B10" s="103">
        <v>13</v>
      </c>
      <c r="C10" s="41">
        <v>72</v>
      </c>
      <c r="D10" s="41">
        <f>575+108</f>
        <v>683</v>
      </c>
      <c r="E10" s="41">
        <f t="shared" si="0"/>
        <v>768</v>
      </c>
    </row>
    <row r="11" spans="1:5" ht="12.75">
      <c r="A11" s="34" t="s">
        <v>16</v>
      </c>
      <c r="B11" s="40">
        <v>8</v>
      </c>
      <c r="C11" s="41">
        <v>37</v>
      </c>
      <c r="D11" s="41">
        <f>83+46</f>
        <v>129</v>
      </c>
      <c r="E11" s="41">
        <f t="shared" si="0"/>
        <v>174</v>
      </c>
    </row>
    <row r="12" spans="1:5" ht="12.75">
      <c r="A12" s="29" t="s">
        <v>53</v>
      </c>
      <c r="B12" s="68">
        <f aca="true" t="shared" si="1" ref="B12:D14">B6+B9</f>
        <v>52</v>
      </c>
      <c r="C12" s="68">
        <f t="shared" si="1"/>
        <v>559</v>
      </c>
      <c r="D12" s="68">
        <f t="shared" si="1"/>
        <v>5607</v>
      </c>
      <c r="E12" s="69">
        <f t="shared" si="0"/>
        <v>6218</v>
      </c>
    </row>
    <row r="13" spans="1:5" ht="12.75">
      <c r="A13" s="34" t="s">
        <v>17</v>
      </c>
      <c r="B13" s="40">
        <f t="shared" si="1"/>
        <v>34</v>
      </c>
      <c r="C13" s="40">
        <f t="shared" si="1"/>
        <v>355</v>
      </c>
      <c r="D13" s="40">
        <f t="shared" si="1"/>
        <v>3656</v>
      </c>
      <c r="E13" s="41">
        <f t="shared" si="0"/>
        <v>4045</v>
      </c>
    </row>
    <row r="14" spans="1:5" ht="12.75">
      <c r="A14" s="34" t="s">
        <v>16</v>
      </c>
      <c r="B14" s="40">
        <f t="shared" si="1"/>
        <v>18</v>
      </c>
      <c r="C14" s="40">
        <f t="shared" si="1"/>
        <v>204</v>
      </c>
      <c r="D14" s="40">
        <f t="shared" si="1"/>
        <v>1951</v>
      </c>
      <c r="E14" s="41">
        <f t="shared" si="0"/>
        <v>2173</v>
      </c>
    </row>
    <row r="15" spans="2:5" ht="16.5" customHeight="1">
      <c r="B15" s="68"/>
      <c r="C15" s="41"/>
      <c r="D15" s="41"/>
      <c r="E15" s="41"/>
    </row>
    <row r="16" spans="1:5" ht="16.5" customHeight="1">
      <c r="A16" s="29" t="s">
        <v>160</v>
      </c>
      <c r="B16" s="68"/>
      <c r="C16" s="41"/>
      <c r="D16" s="41"/>
      <c r="E16" s="41"/>
    </row>
    <row r="17" spans="1:5" ht="18.75" customHeight="1">
      <c r="A17" s="29" t="s">
        <v>15</v>
      </c>
      <c r="B17" s="68">
        <f>B18+B19</f>
        <v>13</v>
      </c>
      <c r="C17" s="68">
        <f>C18+C19</f>
        <v>413</v>
      </c>
      <c r="D17" s="68">
        <f>D18+D19</f>
        <v>3953</v>
      </c>
      <c r="E17" s="69">
        <f t="shared" si="0"/>
        <v>4379</v>
      </c>
    </row>
    <row r="18" spans="1:5" ht="12.75">
      <c r="A18" s="34" t="s">
        <v>17</v>
      </c>
      <c r="B18" s="40">
        <v>9</v>
      </c>
      <c r="C18" s="41">
        <v>242</v>
      </c>
      <c r="D18" s="41">
        <v>2524</v>
      </c>
      <c r="E18" s="41">
        <f t="shared" si="0"/>
        <v>2775</v>
      </c>
    </row>
    <row r="19" spans="1:5" ht="12.75">
      <c r="A19" s="34" t="s">
        <v>16</v>
      </c>
      <c r="B19" s="40">
        <v>4</v>
      </c>
      <c r="C19" s="41">
        <v>171</v>
      </c>
      <c r="D19" s="41">
        <v>1429</v>
      </c>
      <c r="E19" s="41">
        <f t="shared" si="0"/>
        <v>1604</v>
      </c>
    </row>
    <row r="20" spans="1:5" ht="12.75">
      <c r="A20" s="29" t="s">
        <v>18</v>
      </c>
      <c r="B20" s="68">
        <f>B21+B22</f>
        <v>6</v>
      </c>
      <c r="C20" s="68">
        <f>C21+C22</f>
        <v>122</v>
      </c>
      <c r="D20" s="68">
        <f>D21+D22</f>
        <v>717</v>
      </c>
      <c r="E20" s="69">
        <f t="shared" si="0"/>
        <v>845</v>
      </c>
    </row>
    <row r="21" spans="1:5" ht="12.75">
      <c r="A21" s="34" t="s">
        <v>17</v>
      </c>
      <c r="B21" s="103">
        <v>5</v>
      </c>
      <c r="C21" s="41">
        <v>95</v>
      </c>
      <c r="D21" s="41">
        <f>502+86</f>
        <v>588</v>
      </c>
      <c r="E21" s="41">
        <f t="shared" si="0"/>
        <v>688</v>
      </c>
    </row>
    <row r="22" spans="1:5" ht="12.75">
      <c r="A22" s="34" t="s">
        <v>16</v>
      </c>
      <c r="B22" s="40">
        <v>1</v>
      </c>
      <c r="C22" s="41">
        <v>27</v>
      </c>
      <c r="D22" s="41">
        <f>81+48</f>
        <v>129</v>
      </c>
      <c r="E22" s="41">
        <f t="shared" si="0"/>
        <v>157</v>
      </c>
    </row>
    <row r="23" spans="1:5" ht="12.75">
      <c r="A23" s="29" t="s">
        <v>53</v>
      </c>
      <c r="B23" s="69">
        <f aca="true" t="shared" si="2" ref="B23:D25">B17+B20</f>
        <v>19</v>
      </c>
      <c r="C23" s="69">
        <f t="shared" si="2"/>
        <v>535</v>
      </c>
      <c r="D23" s="69">
        <f t="shared" si="2"/>
        <v>4670</v>
      </c>
      <c r="E23" s="69">
        <f t="shared" si="0"/>
        <v>5224</v>
      </c>
    </row>
    <row r="24" spans="1:5" ht="12.75">
      <c r="A24" s="34" t="s">
        <v>17</v>
      </c>
      <c r="B24" s="41">
        <f t="shared" si="2"/>
        <v>14</v>
      </c>
      <c r="C24" s="41">
        <f t="shared" si="2"/>
        <v>337</v>
      </c>
      <c r="D24" s="41">
        <f t="shared" si="2"/>
        <v>3112</v>
      </c>
      <c r="E24" s="41">
        <f t="shared" si="0"/>
        <v>3463</v>
      </c>
    </row>
    <row r="25" spans="1:8" ht="12.75">
      <c r="A25" s="35" t="s">
        <v>16</v>
      </c>
      <c r="B25" s="46">
        <f t="shared" si="2"/>
        <v>5</v>
      </c>
      <c r="C25" s="46">
        <f t="shared" si="2"/>
        <v>198</v>
      </c>
      <c r="D25" s="46">
        <f t="shared" si="2"/>
        <v>1558</v>
      </c>
      <c r="E25" s="47">
        <f t="shared" si="0"/>
        <v>1761</v>
      </c>
      <c r="F25" s="6"/>
      <c r="G25" s="6"/>
      <c r="H25" s="6"/>
    </row>
    <row r="26" spans="1:8" ht="24" customHeight="1">
      <c r="A26" s="51"/>
      <c r="B26" s="43"/>
      <c r="C26" s="43"/>
      <c r="D26" s="43"/>
      <c r="E26" s="45"/>
      <c r="F26" s="6"/>
      <c r="G26" s="6"/>
      <c r="H26" s="6"/>
    </row>
    <row r="27" spans="1:8" ht="46.5" customHeight="1">
      <c r="A27" s="183" t="s">
        <v>218</v>
      </c>
      <c r="B27" s="168"/>
      <c r="C27" s="168"/>
      <c r="D27" s="168"/>
      <c r="E27" s="168"/>
      <c r="F27" s="26"/>
      <c r="G27" s="26"/>
      <c r="H27" s="26"/>
    </row>
  </sheetData>
  <sheetProtection/>
  <mergeCells count="3">
    <mergeCell ref="A1:E1"/>
    <mergeCell ref="A3:E3"/>
    <mergeCell ref="A27:E27"/>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4.xml><?xml version="1.0" encoding="utf-8"?>
<worksheet xmlns="http://schemas.openxmlformats.org/spreadsheetml/2006/main" xmlns:r="http://schemas.openxmlformats.org/officeDocument/2006/relationships">
  <dimension ref="A1:H27"/>
  <sheetViews>
    <sheetView zoomScalePageLayoutView="0" workbookViewId="0" topLeftCell="A1">
      <selection activeCell="D34" sqref="D34:D35"/>
    </sheetView>
  </sheetViews>
  <sheetFormatPr defaultColWidth="9.140625" defaultRowHeight="12.75"/>
  <cols>
    <col min="1" max="1" width="20.7109375" style="0" customWidth="1"/>
    <col min="2" max="5" width="11.7109375" style="0" customWidth="1"/>
  </cols>
  <sheetData>
    <row r="1" spans="1:5" ht="54" customHeight="1">
      <c r="A1" s="173" t="s">
        <v>215</v>
      </c>
      <c r="B1" s="174"/>
      <c r="C1" s="174"/>
      <c r="D1" s="174"/>
      <c r="E1" s="174"/>
    </row>
    <row r="2" spans="1:5" ht="7.5" customHeight="1">
      <c r="A2" s="75"/>
      <c r="B2" s="76"/>
      <c r="C2" s="76"/>
      <c r="D2" s="76"/>
      <c r="E2" s="76"/>
    </row>
    <row r="3" spans="1:6" ht="39.75" customHeight="1">
      <c r="A3" s="168" t="s">
        <v>217</v>
      </c>
      <c r="B3" s="168"/>
      <c r="C3" s="168"/>
      <c r="D3" s="168"/>
      <c r="E3" s="168"/>
      <c r="F3" s="172"/>
    </row>
    <row r="4" spans="1:5" ht="24.75" customHeight="1">
      <c r="A4" s="87" t="s">
        <v>126</v>
      </c>
      <c r="B4" s="59" t="s">
        <v>119</v>
      </c>
      <c r="C4" s="59" t="s">
        <v>118</v>
      </c>
      <c r="D4" s="59" t="s">
        <v>125</v>
      </c>
      <c r="E4" s="59" t="s">
        <v>121</v>
      </c>
    </row>
    <row r="5" spans="1:5" ht="18.75" customHeight="1">
      <c r="A5" s="53" t="s">
        <v>159</v>
      </c>
      <c r="B5" s="53"/>
      <c r="C5" s="54"/>
      <c r="D5" s="54"/>
      <c r="E5" s="54"/>
    </row>
    <row r="6" spans="1:5" ht="18.75" customHeight="1">
      <c r="A6" s="29" t="s">
        <v>15</v>
      </c>
      <c r="B6" s="67">
        <f>B7+B8</f>
        <v>55</v>
      </c>
      <c r="C6" s="67">
        <f>C7+C8</f>
        <v>206</v>
      </c>
      <c r="D6" s="67">
        <f>D7+D8</f>
        <v>64</v>
      </c>
      <c r="E6" s="69">
        <f>B6+C6+D6</f>
        <v>325</v>
      </c>
    </row>
    <row r="7" spans="1:5" ht="12.75">
      <c r="A7" s="34" t="s">
        <v>17</v>
      </c>
      <c r="B7" s="42">
        <v>35</v>
      </c>
      <c r="C7" s="41">
        <v>160</v>
      </c>
      <c r="D7" s="41">
        <v>54</v>
      </c>
      <c r="E7" s="41">
        <f aca="true" t="shared" si="0" ref="E7:E25">B7+C7+D7</f>
        <v>249</v>
      </c>
    </row>
    <row r="8" spans="1:5" ht="12.75">
      <c r="A8" s="34" t="s">
        <v>16</v>
      </c>
      <c r="B8" s="42">
        <v>20</v>
      </c>
      <c r="C8" s="41">
        <v>46</v>
      </c>
      <c r="D8" s="41">
        <v>10</v>
      </c>
      <c r="E8" s="41">
        <f t="shared" si="0"/>
        <v>76</v>
      </c>
    </row>
    <row r="9" spans="1:5" ht="12.75">
      <c r="A9" s="29" t="s">
        <v>18</v>
      </c>
      <c r="B9" s="67">
        <f>B10+B11</f>
        <v>46</v>
      </c>
      <c r="C9" s="67">
        <f>C10+C11</f>
        <v>100</v>
      </c>
      <c r="D9" s="67">
        <f>D10+D11</f>
        <v>134</v>
      </c>
      <c r="E9" s="69">
        <f t="shared" si="0"/>
        <v>280</v>
      </c>
    </row>
    <row r="10" spans="1:5" ht="12.75">
      <c r="A10" s="34" t="s">
        <v>17</v>
      </c>
      <c r="B10" s="104">
        <v>34</v>
      </c>
      <c r="C10" s="41">
        <v>85</v>
      </c>
      <c r="D10" s="41">
        <v>129</v>
      </c>
      <c r="E10" s="41">
        <f t="shared" si="0"/>
        <v>248</v>
      </c>
    </row>
    <row r="11" spans="1:5" ht="12.75">
      <c r="A11" s="34" t="s">
        <v>16</v>
      </c>
      <c r="B11" s="42">
        <v>12</v>
      </c>
      <c r="C11" s="41">
        <v>15</v>
      </c>
      <c r="D11" s="41">
        <v>5</v>
      </c>
      <c r="E11" s="41">
        <f t="shared" si="0"/>
        <v>32</v>
      </c>
    </row>
    <row r="12" spans="1:5" ht="12.75">
      <c r="A12" s="29" t="s">
        <v>53</v>
      </c>
      <c r="B12" s="67">
        <f aca="true" t="shared" si="1" ref="B12:D14">B6+B9</f>
        <v>101</v>
      </c>
      <c r="C12" s="67">
        <f t="shared" si="1"/>
        <v>306</v>
      </c>
      <c r="D12" s="67">
        <f t="shared" si="1"/>
        <v>198</v>
      </c>
      <c r="E12" s="69">
        <f t="shared" si="0"/>
        <v>605</v>
      </c>
    </row>
    <row r="13" spans="1:5" ht="12.75">
      <c r="A13" s="34" t="s">
        <v>17</v>
      </c>
      <c r="B13" s="42">
        <f t="shared" si="1"/>
        <v>69</v>
      </c>
      <c r="C13" s="42">
        <f t="shared" si="1"/>
        <v>245</v>
      </c>
      <c r="D13" s="42">
        <f t="shared" si="1"/>
        <v>183</v>
      </c>
      <c r="E13" s="41">
        <f t="shared" si="0"/>
        <v>497</v>
      </c>
    </row>
    <row r="14" spans="1:5" ht="12.75">
      <c r="A14" s="34" t="s">
        <v>16</v>
      </c>
      <c r="B14" s="42">
        <f t="shared" si="1"/>
        <v>32</v>
      </c>
      <c r="C14" s="42">
        <f t="shared" si="1"/>
        <v>61</v>
      </c>
      <c r="D14" s="42">
        <f t="shared" si="1"/>
        <v>15</v>
      </c>
      <c r="E14" s="41">
        <f t="shared" si="0"/>
        <v>108</v>
      </c>
    </row>
    <row r="15" spans="2:5" ht="16.5" customHeight="1">
      <c r="B15" s="67"/>
      <c r="C15" s="28"/>
      <c r="D15" s="28"/>
      <c r="E15" s="41"/>
    </row>
    <row r="16" spans="1:5" ht="16.5" customHeight="1">
      <c r="A16" s="29" t="s">
        <v>160</v>
      </c>
      <c r="B16" s="67"/>
      <c r="C16" s="28"/>
      <c r="D16" s="28"/>
      <c r="E16" s="41"/>
    </row>
    <row r="17" spans="1:5" ht="18.75" customHeight="1">
      <c r="A17" s="29" t="s">
        <v>15</v>
      </c>
      <c r="B17" s="67">
        <f>B18+B19</f>
        <v>77</v>
      </c>
      <c r="C17" s="67">
        <f>C18+C19</f>
        <v>227</v>
      </c>
      <c r="D17" s="67">
        <f>D18+D19</f>
        <v>31</v>
      </c>
      <c r="E17" s="69">
        <f t="shared" si="0"/>
        <v>335</v>
      </c>
    </row>
    <row r="18" spans="1:5" ht="12.75">
      <c r="A18" s="34" t="s">
        <v>17</v>
      </c>
      <c r="B18" s="42">
        <v>52</v>
      </c>
      <c r="C18" s="28">
        <v>162</v>
      </c>
      <c r="D18" s="28">
        <v>26</v>
      </c>
      <c r="E18" s="41">
        <f t="shared" si="0"/>
        <v>240</v>
      </c>
    </row>
    <row r="19" spans="1:5" ht="12.75">
      <c r="A19" s="34" t="s">
        <v>16</v>
      </c>
      <c r="B19" s="42">
        <v>25</v>
      </c>
      <c r="C19" s="28">
        <v>65</v>
      </c>
      <c r="D19" s="28">
        <v>5</v>
      </c>
      <c r="E19" s="41">
        <f t="shared" si="0"/>
        <v>95</v>
      </c>
    </row>
    <row r="20" spans="1:5" ht="12.75">
      <c r="A20" s="29" t="s">
        <v>18</v>
      </c>
      <c r="B20" s="67">
        <f>B21+B22</f>
        <v>39</v>
      </c>
      <c r="C20" s="67">
        <f>C21+C22</f>
        <v>99</v>
      </c>
      <c r="D20" s="67">
        <f>D21+D22</f>
        <v>144</v>
      </c>
      <c r="E20" s="69">
        <f t="shared" si="0"/>
        <v>282</v>
      </c>
    </row>
    <row r="21" spans="1:5" ht="12.75">
      <c r="A21" s="34" t="s">
        <v>17</v>
      </c>
      <c r="B21" s="104">
        <v>28</v>
      </c>
      <c r="C21" s="28">
        <v>77</v>
      </c>
      <c r="D21" s="28">
        <v>139</v>
      </c>
      <c r="E21" s="41">
        <f t="shared" si="0"/>
        <v>244</v>
      </c>
    </row>
    <row r="22" spans="1:5" ht="12.75">
      <c r="A22" s="34" t="s">
        <v>16</v>
      </c>
      <c r="B22" s="42">
        <v>11</v>
      </c>
      <c r="C22" s="28">
        <v>22</v>
      </c>
      <c r="D22" s="28">
        <v>5</v>
      </c>
      <c r="E22" s="41">
        <f t="shared" si="0"/>
        <v>38</v>
      </c>
    </row>
    <row r="23" spans="1:5" ht="12.75">
      <c r="A23" s="29" t="s">
        <v>53</v>
      </c>
      <c r="B23" s="29">
        <f aca="true" t="shared" si="2" ref="B23:D25">B17+B20</f>
        <v>116</v>
      </c>
      <c r="C23" s="29">
        <f t="shared" si="2"/>
        <v>326</v>
      </c>
      <c r="D23" s="29">
        <f t="shared" si="2"/>
        <v>175</v>
      </c>
      <c r="E23" s="69">
        <f t="shared" si="0"/>
        <v>617</v>
      </c>
    </row>
    <row r="24" spans="1:5" ht="12.75">
      <c r="A24" s="34" t="s">
        <v>17</v>
      </c>
      <c r="B24" s="28">
        <f t="shared" si="2"/>
        <v>80</v>
      </c>
      <c r="C24" s="28">
        <f t="shared" si="2"/>
        <v>239</v>
      </c>
      <c r="D24" s="28">
        <f t="shared" si="2"/>
        <v>165</v>
      </c>
      <c r="E24" s="41">
        <f t="shared" si="0"/>
        <v>484</v>
      </c>
    </row>
    <row r="25" spans="1:8" ht="12.75">
      <c r="A25" s="35" t="s">
        <v>16</v>
      </c>
      <c r="B25" s="48">
        <f t="shared" si="2"/>
        <v>36</v>
      </c>
      <c r="C25" s="48">
        <f t="shared" si="2"/>
        <v>87</v>
      </c>
      <c r="D25" s="48">
        <f t="shared" si="2"/>
        <v>10</v>
      </c>
      <c r="E25" s="47">
        <f t="shared" si="0"/>
        <v>133</v>
      </c>
      <c r="F25" s="6"/>
      <c r="G25" s="6"/>
      <c r="H25" s="6"/>
    </row>
    <row r="26" spans="1:8" ht="24" customHeight="1">
      <c r="A26" s="51"/>
      <c r="B26" s="145"/>
      <c r="C26" s="145"/>
      <c r="D26" s="145"/>
      <c r="E26" s="45"/>
      <c r="F26" s="6"/>
      <c r="G26" s="6"/>
      <c r="H26" s="6"/>
    </row>
    <row r="27" spans="1:8" ht="46.5" customHeight="1">
      <c r="A27" s="183" t="s">
        <v>218</v>
      </c>
      <c r="B27" s="168"/>
      <c r="C27" s="168"/>
      <c r="D27" s="168"/>
      <c r="E27" s="168"/>
      <c r="F27" s="26"/>
      <c r="G27" s="26"/>
      <c r="H27" s="26"/>
    </row>
  </sheetData>
  <sheetProtection/>
  <mergeCells count="3">
    <mergeCell ref="A1:E1"/>
    <mergeCell ref="A27:E27"/>
    <mergeCell ref="A3:F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5.xml><?xml version="1.0" encoding="utf-8"?>
<worksheet xmlns="http://schemas.openxmlformats.org/spreadsheetml/2006/main" xmlns:r="http://schemas.openxmlformats.org/officeDocument/2006/relationships">
  <dimension ref="A1:M49"/>
  <sheetViews>
    <sheetView tabSelected="1" zoomScaleSheetLayoutView="50" zoomScalePageLayoutView="0" workbookViewId="0" topLeftCell="A1">
      <selection activeCell="A1" sqref="A1:M1"/>
    </sheetView>
  </sheetViews>
  <sheetFormatPr defaultColWidth="9.140625" defaultRowHeight="12.75"/>
  <cols>
    <col min="1" max="1" width="15.7109375" style="0" customWidth="1"/>
    <col min="2" max="2" width="10.8515625" style="0" customWidth="1"/>
    <col min="3" max="3" width="1.7109375" style="0" customWidth="1"/>
    <col min="4" max="4" width="8.421875" style="0" customWidth="1"/>
    <col min="5" max="5" width="1.7109375" style="0" customWidth="1"/>
    <col min="6" max="6" width="7.140625" style="0" customWidth="1"/>
    <col min="7" max="7" width="6.7109375" style="0" customWidth="1"/>
    <col min="8" max="8" width="8.8515625" style="0" customWidth="1"/>
    <col min="9" max="9" width="1.7109375" style="0" customWidth="1"/>
    <col min="10" max="10" width="7.28125" style="0" customWidth="1"/>
    <col min="11" max="11" width="7.57421875" style="0" customWidth="1"/>
    <col min="12" max="12" width="6.57421875" style="0" customWidth="1"/>
    <col min="13" max="13" width="7.8515625" style="0" customWidth="1"/>
  </cols>
  <sheetData>
    <row r="1" spans="1:13" ht="27.75" customHeight="1">
      <c r="A1" s="173" t="s">
        <v>167</v>
      </c>
      <c r="B1" s="174"/>
      <c r="C1" s="174"/>
      <c r="D1" s="174"/>
      <c r="E1" s="174"/>
      <c r="F1" s="174"/>
      <c r="G1" s="174"/>
      <c r="H1" s="174"/>
      <c r="I1" s="174"/>
      <c r="J1" s="174"/>
      <c r="K1" s="174"/>
      <c r="L1" s="174"/>
      <c r="M1" s="174"/>
    </row>
    <row r="2" spans="1:13" ht="7.5" customHeight="1">
      <c r="A2" s="75"/>
      <c r="B2" s="76"/>
      <c r="C2" s="76"/>
      <c r="D2" s="76"/>
      <c r="E2" s="76"/>
      <c r="F2" s="76"/>
      <c r="G2" s="76"/>
      <c r="H2" s="76"/>
      <c r="I2" s="76"/>
      <c r="J2" s="76"/>
      <c r="K2" s="76"/>
      <c r="L2" s="76"/>
      <c r="M2" s="76"/>
    </row>
    <row r="3" spans="1:13" ht="27" customHeight="1">
      <c r="A3" s="175" t="s">
        <v>168</v>
      </c>
      <c r="B3" s="175"/>
      <c r="C3" s="175"/>
      <c r="D3" s="175"/>
      <c r="E3" s="175"/>
      <c r="F3" s="175"/>
      <c r="G3" s="175"/>
      <c r="H3" s="175"/>
      <c r="I3" s="175"/>
      <c r="J3" s="175"/>
      <c r="K3" s="175"/>
      <c r="L3" s="175"/>
      <c r="M3" s="175"/>
    </row>
    <row r="4" spans="1:13" ht="18.75" customHeight="1">
      <c r="A4" s="71" t="s">
        <v>135</v>
      </c>
      <c r="B4" s="84" t="s">
        <v>9</v>
      </c>
      <c r="C4" s="37"/>
      <c r="D4" s="166" t="s">
        <v>10</v>
      </c>
      <c r="E4" s="166"/>
      <c r="F4" s="166"/>
      <c r="G4" s="166"/>
      <c r="H4" s="166"/>
      <c r="I4" s="12"/>
      <c r="J4" s="86" t="s">
        <v>11</v>
      </c>
      <c r="K4" s="86"/>
      <c r="L4" s="86"/>
      <c r="M4" s="86"/>
    </row>
    <row r="5" spans="1:13" ht="48.75" customHeight="1">
      <c r="A5" s="5" t="s">
        <v>137</v>
      </c>
      <c r="B5" s="10" t="s">
        <v>12</v>
      </c>
      <c r="C5" s="10"/>
      <c r="D5" s="10" t="s">
        <v>142</v>
      </c>
      <c r="E5" s="97" t="s">
        <v>139</v>
      </c>
      <c r="F5" s="10" t="s">
        <v>29</v>
      </c>
      <c r="G5" s="10" t="s">
        <v>13</v>
      </c>
      <c r="H5" s="10" t="s">
        <v>59</v>
      </c>
      <c r="I5" s="10"/>
      <c r="J5" s="10" t="s">
        <v>63</v>
      </c>
      <c r="K5" s="10" t="s">
        <v>14</v>
      </c>
      <c r="L5" s="10" t="s">
        <v>76</v>
      </c>
      <c r="M5" s="10" t="s">
        <v>55</v>
      </c>
    </row>
    <row r="6" spans="1:13" ht="30" customHeight="1">
      <c r="A6" s="113" t="s">
        <v>206</v>
      </c>
      <c r="B6" s="115">
        <f>B16+B26</f>
        <v>3856</v>
      </c>
      <c r="C6" s="115"/>
      <c r="D6" s="115">
        <f>D16+D26</f>
        <v>619</v>
      </c>
      <c r="E6" s="115"/>
      <c r="F6" s="115">
        <f>F16+F26</f>
        <v>991</v>
      </c>
      <c r="G6" s="115">
        <f>G16+G26</f>
        <v>9526</v>
      </c>
      <c r="H6" s="115">
        <f>H16+H26</f>
        <v>14992</v>
      </c>
      <c r="I6" s="117"/>
      <c r="J6" s="115">
        <f>J16+J26</f>
        <v>10708</v>
      </c>
      <c r="K6" s="115">
        <f>K16+K26</f>
        <v>29</v>
      </c>
      <c r="L6" s="115">
        <f>L16+L26</f>
        <v>508</v>
      </c>
      <c r="M6" s="115">
        <f>M16+M26</f>
        <v>11245</v>
      </c>
    </row>
    <row r="7" spans="1:13" ht="24" customHeight="1">
      <c r="A7" s="11" t="s">
        <v>144</v>
      </c>
      <c r="B7" s="92"/>
      <c r="C7" s="92"/>
      <c r="D7" s="92"/>
      <c r="E7" s="92"/>
      <c r="F7" s="92"/>
      <c r="G7" s="92"/>
      <c r="H7" s="92"/>
      <c r="I7" s="92"/>
      <c r="J7" s="92"/>
      <c r="K7" s="92"/>
      <c r="L7" s="92"/>
      <c r="M7" s="92"/>
    </row>
    <row r="8" spans="1:13" ht="12.75" customHeight="1">
      <c r="A8" s="8" t="s">
        <v>38</v>
      </c>
      <c r="B8" s="4">
        <f>B18+B28</f>
        <v>167</v>
      </c>
      <c r="C8" s="92"/>
      <c r="D8" s="4">
        <f>D18+D28</f>
        <v>4</v>
      </c>
      <c r="E8" s="4"/>
      <c r="F8" s="4">
        <f aca="true" t="shared" si="0" ref="F8:H10">F18+F28</f>
        <v>52</v>
      </c>
      <c r="G8" s="4">
        <f t="shared" si="0"/>
        <v>216</v>
      </c>
      <c r="H8" s="4">
        <f t="shared" si="0"/>
        <v>439</v>
      </c>
      <c r="I8" s="92"/>
      <c r="J8" s="4">
        <f>J18+J28</f>
        <v>142</v>
      </c>
      <c r="K8" s="65">
        <v>1</v>
      </c>
      <c r="L8" s="4">
        <f>L18+L28</f>
        <v>42</v>
      </c>
      <c r="M8" s="4">
        <f>M18+M28</f>
        <v>185</v>
      </c>
    </row>
    <row r="9" spans="1:13" ht="12.75" customHeight="1">
      <c r="A9" s="8" t="s">
        <v>108</v>
      </c>
      <c r="B9" s="4">
        <f>B19+B29</f>
        <v>50</v>
      </c>
      <c r="C9" s="107"/>
      <c r="D9" s="4">
        <f>D19+D29</f>
        <v>229</v>
      </c>
      <c r="E9" s="4"/>
      <c r="F9" s="4">
        <f t="shared" si="0"/>
        <v>219</v>
      </c>
      <c r="G9" s="4">
        <f t="shared" si="0"/>
        <v>762</v>
      </c>
      <c r="H9" s="4">
        <f t="shared" si="0"/>
        <v>1260</v>
      </c>
      <c r="I9" s="100"/>
      <c r="J9" s="102" t="s">
        <v>65</v>
      </c>
      <c r="K9" s="102" t="s">
        <v>65</v>
      </c>
      <c r="L9" s="102" t="s">
        <v>65</v>
      </c>
      <c r="M9" s="102" t="s">
        <v>65</v>
      </c>
    </row>
    <row r="10" spans="1:13" ht="12.75" customHeight="1">
      <c r="A10" s="8" t="s">
        <v>61</v>
      </c>
      <c r="B10" s="102" t="s">
        <v>65</v>
      </c>
      <c r="C10" s="94"/>
      <c r="D10" s="4">
        <f>D20+D30</f>
        <v>84</v>
      </c>
      <c r="E10" s="4"/>
      <c r="F10" s="4">
        <f t="shared" si="0"/>
        <v>111</v>
      </c>
      <c r="G10" s="4">
        <f t="shared" si="0"/>
        <v>610</v>
      </c>
      <c r="H10" s="4">
        <f t="shared" si="0"/>
        <v>805</v>
      </c>
      <c r="I10" s="92"/>
      <c r="J10" s="102" t="s">
        <v>65</v>
      </c>
      <c r="K10" s="102" t="s">
        <v>65</v>
      </c>
      <c r="L10" s="102" t="s">
        <v>65</v>
      </c>
      <c r="M10" s="102" t="s">
        <v>65</v>
      </c>
    </row>
    <row r="11" spans="1:13" ht="12.75" customHeight="1">
      <c r="A11" s="8" t="s">
        <v>62</v>
      </c>
      <c r="B11" s="149" t="s">
        <v>65</v>
      </c>
      <c r="C11" s="149"/>
      <c r="D11" s="149" t="s">
        <v>65</v>
      </c>
      <c r="E11" s="149"/>
      <c r="F11" s="149" t="s">
        <v>65</v>
      </c>
      <c r="G11" s="149" t="s">
        <v>65</v>
      </c>
      <c r="H11" s="149" t="s">
        <v>65</v>
      </c>
      <c r="I11" s="150"/>
      <c r="J11" s="19">
        <f>J21+J31</f>
        <v>337</v>
      </c>
      <c r="K11" s="19">
        <v>1</v>
      </c>
      <c r="L11" s="19">
        <f>L21+L31</f>
        <v>25</v>
      </c>
      <c r="M11" s="19">
        <f>J11+K11+L11</f>
        <v>363</v>
      </c>
    </row>
    <row r="12" spans="1:13" ht="12.75" customHeight="1">
      <c r="A12" s="8" t="s">
        <v>219</v>
      </c>
      <c r="B12" s="15">
        <v>515</v>
      </c>
      <c r="C12" s="151"/>
      <c r="D12" s="151">
        <v>62</v>
      </c>
      <c r="E12" s="151"/>
      <c r="F12" s="151">
        <v>94</v>
      </c>
      <c r="G12" s="151">
        <v>2075</v>
      </c>
      <c r="H12" s="151">
        <f>H22+H32</f>
        <v>2746</v>
      </c>
      <c r="I12" s="152"/>
      <c r="J12" s="151">
        <v>6027</v>
      </c>
      <c r="K12" s="153" t="s">
        <v>64</v>
      </c>
      <c r="L12" s="151">
        <v>136</v>
      </c>
      <c r="M12" s="151">
        <f>M22+M32</f>
        <v>6163</v>
      </c>
    </row>
    <row r="13" spans="1:13" ht="12.75" customHeight="1">
      <c r="A13" s="8" t="s">
        <v>31</v>
      </c>
      <c r="B13" s="19">
        <f>B23+B33</f>
        <v>140</v>
      </c>
      <c r="C13" s="19"/>
      <c r="D13" s="19">
        <f>D23+D33</f>
        <v>5</v>
      </c>
      <c r="E13" s="19"/>
      <c r="F13" s="19">
        <f aca="true" t="shared" si="1" ref="F13:H15">F23+F33</f>
        <v>23</v>
      </c>
      <c r="G13" s="19">
        <f t="shared" si="1"/>
        <v>337</v>
      </c>
      <c r="H13" s="19">
        <f t="shared" si="1"/>
        <v>505</v>
      </c>
      <c r="I13" s="93"/>
      <c r="J13" s="19">
        <f>J23+J33</f>
        <v>203</v>
      </c>
      <c r="K13" s="70" t="s">
        <v>64</v>
      </c>
      <c r="L13" s="19">
        <f>L23+L33</f>
        <v>7</v>
      </c>
      <c r="M13" s="19">
        <f>M23+M33</f>
        <v>210</v>
      </c>
    </row>
    <row r="14" spans="1:13" ht="12.75" customHeight="1">
      <c r="A14" s="8" t="s">
        <v>30</v>
      </c>
      <c r="B14" s="19">
        <f>B24+B34</f>
        <v>221</v>
      </c>
      <c r="C14" s="19"/>
      <c r="D14" s="19">
        <f>D24+D34</f>
        <v>15</v>
      </c>
      <c r="E14" s="19"/>
      <c r="F14" s="19">
        <f t="shared" si="1"/>
        <v>118</v>
      </c>
      <c r="G14" s="19">
        <f t="shared" si="1"/>
        <v>887</v>
      </c>
      <c r="H14" s="19">
        <f t="shared" si="1"/>
        <v>1241</v>
      </c>
      <c r="I14" s="93"/>
      <c r="J14" s="19">
        <f>J24+J34</f>
        <v>383</v>
      </c>
      <c r="K14" s="70" t="s">
        <v>64</v>
      </c>
      <c r="L14" s="19">
        <f>L24+L34</f>
        <v>48</v>
      </c>
      <c r="M14" s="19">
        <f>M24+M34</f>
        <v>431</v>
      </c>
    </row>
    <row r="15" spans="1:13" ht="12.75" customHeight="1">
      <c r="A15" s="22" t="s">
        <v>32</v>
      </c>
      <c r="B15" s="19">
        <f>B25+B35</f>
        <v>17</v>
      </c>
      <c r="C15" s="93"/>
      <c r="D15" s="19">
        <v>1</v>
      </c>
      <c r="E15" s="93"/>
      <c r="F15" s="19">
        <f t="shared" si="1"/>
        <v>19</v>
      </c>
      <c r="G15" s="19">
        <f t="shared" si="1"/>
        <v>137</v>
      </c>
      <c r="H15" s="19">
        <f t="shared" si="1"/>
        <v>174</v>
      </c>
      <c r="I15" s="93"/>
      <c r="J15" s="19">
        <f>J25+J35</f>
        <v>411</v>
      </c>
      <c r="K15" s="70">
        <v>1</v>
      </c>
      <c r="L15" s="19">
        <f>L25+L35</f>
        <v>17</v>
      </c>
      <c r="M15" s="19">
        <f>J15+K15+L15</f>
        <v>429</v>
      </c>
    </row>
    <row r="16" spans="1:13" ht="18.75" customHeight="1">
      <c r="A16" s="61" t="s">
        <v>17</v>
      </c>
      <c r="B16" s="112">
        <v>2522</v>
      </c>
      <c r="C16" s="108"/>
      <c r="D16" s="112">
        <v>293</v>
      </c>
      <c r="E16" s="108"/>
      <c r="F16" s="112">
        <v>620</v>
      </c>
      <c r="G16" s="112">
        <v>6017</v>
      </c>
      <c r="H16" s="112">
        <f>B16+D16+F16+G16</f>
        <v>9452</v>
      </c>
      <c r="I16" s="108"/>
      <c r="J16" s="112">
        <v>5284</v>
      </c>
      <c r="K16" s="112">
        <v>17</v>
      </c>
      <c r="L16" s="112">
        <v>263</v>
      </c>
      <c r="M16" s="112">
        <f>J16+K16+L16</f>
        <v>5564</v>
      </c>
    </row>
    <row r="17" spans="1:13" ht="24" customHeight="1">
      <c r="A17" s="11" t="s">
        <v>144</v>
      </c>
      <c r="B17" s="93"/>
      <c r="C17" s="93"/>
      <c r="D17" s="93"/>
      <c r="E17" s="93"/>
      <c r="F17" s="93"/>
      <c r="G17" s="93"/>
      <c r="H17" s="93"/>
      <c r="I17" s="93"/>
      <c r="J17" s="93"/>
      <c r="K17" s="93"/>
      <c r="L17" s="93"/>
      <c r="M17" s="93"/>
    </row>
    <row r="18" spans="1:13" ht="12.75">
      <c r="A18" s="8" t="s">
        <v>38</v>
      </c>
      <c r="B18" s="19">
        <v>92</v>
      </c>
      <c r="C18" s="93"/>
      <c r="D18" s="19">
        <v>1</v>
      </c>
      <c r="E18" s="93"/>
      <c r="F18" s="19">
        <v>28</v>
      </c>
      <c r="G18" s="19">
        <v>149</v>
      </c>
      <c r="H18" s="19">
        <f>B18+D18+F18+G18</f>
        <v>270</v>
      </c>
      <c r="I18" s="93"/>
      <c r="J18" s="19">
        <v>115</v>
      </c>
      <c r="K18" s="70">
        <v>1</v>
      </c>
      <c r="L18" s="19">
        <v>33</v>
      </c>
      <c r="M18" s="19">
        <f>J18+K18+L18</f>
        <v>149</v>
      </c>
    </row>
    <row r="19" spans="1:13" ht="12.75">
      <c r="A19" s="8" t="s">
        <v>108</v>
      </c>
      <c r="B19" s="15">
        <v>28</v>
      </c>
      <c r="C19" s="154"/>
      <c r="D19" s="15">
        <v>113</v>
      </c>
      <c r="E19" s="154"/>
      <c r="F19" s="15">
        <v>149</v>
      </c>
      <c r="G19" s="15">
        <v>461</v>
      </c>
      <c r="H19" s="19">
        <f>B19+D19+F19+G19</f>
        <v>751</v>
      </c>
      <c r="I19" s="155"/>
      <c r="J19" s="149" t="s">
        <v>65</v>
      </c>
      <c r="K19" s="149" t="s">
        <v>65</v>
      </c>
      <c r="L19" s="149" t="s">
        <v>65</v>
      </c>
      <c r="M19" s="149" t="s">
        <v>65</v>
      </c>
    </row>
    <row r="20" spans="1:13" ht="12.75">
      <c r="A20" s="8" t="s">
        <v>61</v>
      </c>
      <c r="B20" s="149" t="s">
        <v>65</v>
      </c>
      <c r="C20" s="150"/>
      <c r="D20" s="19">
        <v>46</v>
      </c>
      <c r="E20" s="93"/>
      <c r="F20" s="19">
        <v>81</v>
      </c>
      <c r="G20" s="19">
        <v>466</v>
      </c>
      <c r="H20" s="19">
        <f>D20+F20+G20</f>
        <v>593</v>
      </c>
      <c r="I20" s="93"/>
      <c r="J20" s="149" t="s">
        <v>65</v>
      </c>
      <c r="K20" s="149" t="s">
        <v>65</v>
      </c>
      <c r="L20" s="149" t="s">
        <v>65</v>
      </c>
      <c r="M20" s="149" t="s">
        <v>65</v>
      </c>
    </row>
    <row r="21" spans="1:13" ht="12.75">
      <c r="A21" s="8" t="s">
        <v>62</v>
      </c>
      <c r="B21" s="149" t="s">
        <v>65</v>
      </c>
      <c r="C21" s="149"/>
      <c r="D21" s="149" t="s">
        <v>65</v>
      </c>
      <c r="E21" s="149"/>
      <c r="F21" s="149" t="s">
        <v>65</v>
      </c>
      <c r="G21" s="149" t="s">
        <v>65</v>
      </c>
      <c r="H21" s="149" t="s">
        <v>65</v>
      </c>
      <c r="I21" s="150"/>
      <c r="J21" s="19">
        <v>178</v>
      </c>
      <c r="K21" s="19">
        <v>1</v>
      </c>
      <c r="L21" s="19">
        <v>17</v>
      </c>
      <c r="M21" s="19">
        <f>J21+K21+L21</f>
        <v>196</v>
      </c>
    </row>
    <row r="22" spans="1:13" ht="12.75">
      <c r="A22" s="8" t="s">
        <v>219</v>
      </c>
      <c r="B22" s="15">
        <v>295</v>
      </c>
      <c r="C22" s="152"/>
      <c r="D22" s="151">
        <v>20</v>
      </c>
      <c r="E22" s="152"/>
      <c r="F22" s="151">
        <v>45</v>
      </c>
      <c r="G22" s="151">
        <v>1193</v>
      </c>
      <c r="H22" s="151">
        <f>B22+D22+F22+G22</f>
        <v>1553</v>
      </c>
      <c r="I22" s="152"/>
      <c r="J22" s="151">
        <v>2359</v>
      </c>
      <c r="K22" s="153" t="s">
        <v>64</v>
      </c>
      <c r="L22" s="151">
        <v>53</v>
      </c>
      <c r="M22" s="151">
        <f>J22+L22</f>
        <v>2412</v>
      </c>
    </row>
    <row r="23" spans="1:13" ht="12.75">
      <c r="A23" s="8" t="s">
        <v>31</v>
      </c>
      <c r="B23" s="19">
        <v>64</v>
      </c>
      <c r="C23" s="93"/>
      <c r="D23" s="70">
        <v>4</v>
      </c>
      <c r="E23" s="156"/>
      <c r="F23" s="147">
        <v>11</v>
      </c>
      <c r="G23" s="147">
        <v>206</v>
      </c>
      <c r="H23" s="147">
        <f>B23+D23+F23+G23</f>
        <v>285</v>
      </c>
      <c r="I23" s="146"/>
      <c r="J23" s="147">
        <v>115</v>
      </c>
      <c r="K23" s="148" t="s">
        <v>64</v>
      </c>
      <c r="L23" s="147">
        <v>2</v>
      </c>
      <c r="M23" s="147">
        <f>J23+L23</f>
        <v>117</v>
      </c>
    </row>
    <row r="24" spans="1:13" ht="12.75">
      <c r="A24" s="8" t="s">
        <v>30</v>
      </c>
      <c r="B24" s="19">
        <v>114</v>
      </c>
      <c r="C24" s="93"/>
      <c r="D24" s="19">
        <v>10</v>
      </c>
      <c r="E24" s="146"/>
      <c r="F24" s="147">
        <v>67</v>
      </c>
      <c r="G24" s="147">
        <v>561</v>
      </c>
      <c r="H24" s="147">
        <f>B24+D24+F24+G24</f>
        <v>752</v>
      </c>
      <c r="I24" s="146"/>
      <c r="J24" s="147">
        <v>195</v>
      </c>
      <c r="K24" s="148" t="s">
        <v>64</v>
      </c>
      <c r="L24" s="147">
        <v>21</v>
      </c>
      <c r="M24" s="147">
        <f>J24+L24</f>
        <v>216</v>
      </c>
    </row>
    <row r="25" spans="1:13" ht="12.75">
      <c r="A25" s="22" t="s">
        <v>32</v>
      </c>
      <c r="B25" s="19">
        <v>11</v>
      </c>
      <c r="C25" s="93"/>
      <c r="D25" s="70" t="s">
        <v>64</v>
      </c>
      <c r="E25" s="146"/>
      <c r="F25" s="147">
        <v>16</v>
      </c>
      <c r="G25" s="147">
        <v>84</v>
      </c>
      <c r="H25" s="147">
        <f>B25+F25+G25</f>
        <v>111</v>
      </c>
      <c r="I25" s="146"/>
      <c r="J25" s="147">
        <v>302</v>
      </c>
      <c r="K25" s="148">
        <v>1</v>
      </c>
      <c r="L25" s="147">
        <v>11</v>
      </c>
      <c r="M25" s="147">
        <f>J25+K25+L25</f>
        <v>314</v>
      </c>
    </row>
    <row r="26" spans="1:13" ht="18.75" customHeight="1">
      <c r="A26" s="61" t="s">
        <v>19</v>
      </c>
      <c r="B26" s="112">
        <v>1334</v>
      </c>
      <c r="C26" s="108"/>
      <c r="D26" s="112">
        <v>326</v>
      </c>
      <c r="E26" s="157"/>
      <c r="F26" s="158">
        <v>371</v>
      </c>
      <c r="G26" s="158">
        <v>3509</v>
      </c>
      <c r="H26" s="158">
        <f>B26+D26+F26+G26</f>
        <v>5540</v>
      </c>
      <c r="I26" s="157"/>
      <c r="J26" s="158">
        <v>5424</v>
      </c>
      <c r="K26" s="158">
        <v>12</v>
      </c>
      <c r="L26" s="158">
        <v>245</v>
      </c>
      <c r="M26" s="158">
        <f>J26+K26+L26</f>
        <v>5681</v>
      </c>
    </row>
    <row r="27" spans="1:13" ht="24" customHeight="1">
      <c r="A27" s="11" t="s">
        <v>144</v>
      </c>
      <c r="B27" s="93"/>
      <c r="C27" s="93"/>
      <c r="D27" s="93"/>
      <c r="E27" s="146"/>
      <c r="F27" s="146"/>
      <c r="G27" s="146"/>
      <c r="H27" s="146"/>
      <c r="I27" s="146"/>
      <c r="J27" s="146"/>
      <c r="K27" s="146"/>
      <c r="L27" s="146"/>
      <c r="M27" s="146"/>
    </row>
    <row r="28" spans="1:13" ht="12.75">
      <c r="A28" s="8" t="s">
        <v>38</v>
      </c>
      <c r="B28" s="19">
        <v>75</v>
      </c>
      <c r="C28" s="93"/>
      <c r="D28" s="19">
        <v>3</v>
      </c>
      <c r="E28" s="146"/>
      <c r="F28" s="147">
        <v>24</v>
      </c>
      <c r="G28" s="147">
        <v>67</v>
      </c>
      <c r="H28" s="147">
        <f>B28+D28+F28+G28</f>
        <v>169</v>
      </c>
      <c r="I28" s="146"/>
      <c r="J28" s="147">
        <v>27</v>
      </c>
      <c r="K28" s="148" t="s">
        <v>64</v>
      </c>
      <c r="L28" s="147">
        <v>9</v>
      </c>
      <c r="M28" s="147">
        <v>36</v>
      </c>
    </row>
    <row r="29" spans="1:13" ht="12.75">
      <c r="A29" s="8" t="s">
        <v>108</v>
      </c>
      <c r="B29" s="15">
        <v>22</v>
      </c>
      <c r="C29" s="154"/>
      <c r="D29" s="15">
        <v>116</v>
      </c>
      <c r="E29" s="159"/>
      <c r="F29" s="160">
        <v>70</v>
      </c>
      <c r="G29" s="160">
        <v>301</v>
      </c>
      <c r="H29" s="147">
        <f>B29+D29+F29+G29</f>
        <v>509</v>
      </c>
      <c r="I29" s="161"/>
      <c r="J29" s="162" t="s">
        <v>65</v>
      </c>
      <c r="K29" s="162" t="s">
        <v>65</v>
      </c>
      <c r="L29" s="162" t="s">
        <v>65</v>
      </c>
      <c r="M29" s="162" t="s">
        <v>65</v>
      </c>
    </row>
    <row r="30" spans="1:13" ht="12.75">
      <c r="A30" s="8" t="s">
        <v>61</v>
      </c>
      <c r="B30" s="149" t="s">
        <v>65</v>
      </c>
      <c r="C30" s="150"/>
      <c r="D30" s="19">
        <v>38</v>
      </c>
      <c r="E30" s="146"/>
      <c r="F30" s="147">
        <v>30</v>
      </c>
      <c r="G30" s="147">
        <v>144</v>
      </c>
      <c r="H30" s="147">
        <f>D30+F30+G30</f>
        <v>212</v>
      </c>
      <c r="I30" s="146"/>
      <c r="J30" s="162" t="s">
        <v>65</v>
      </c>
      <c r="K30" s="162" t="s">
        <v>65</v>
      </c>
      <c r="L30" s="162" t="s">
        <v>65</v>
      </c>
      <c r="M30" s="162" t="s">
        <v>65</v>
      </c>
    </row>
    <row r="31" spans="1:13" ht="12.75">
      <c r="A31" s="8" t="s">
        <v>62</v>
      </c>
      <c r="B31" s="149" t="s">
        <v>65</v>
      </c>
      <c r="C31" s="149"/>
      <c r="D31" s="149" t="s">
        <v>65</v>
      </c>
      <c r="E31" s="162"/>
      <c r="F31" s="162" t="s">
        <v>65</v>
      </c>
      <c r="G31" s="162" t="s">
        <v>65</v>
      </c>
      <c r="H31" s="162" t="s">
        <v>65</v>
      </c>
      <c r="I31" s="163"/>
      <c r="J31" s="147">
        <v>159</v>
      </c>
      <c r="K31" s="148" t="s">
        <v>64</v>
      </c>
      <c r="L31" s="147">
        <v>8</v>
      </c>
      <c r="M31" s="147">
        <v>167</v>
      </c>
    </row>
    <row r="32" spans="1:13" ht="12.75">
      <c r="A32" s="8" t="s">
        <v>219</v>
      </c>
      <c r="B32" s="15">
        <v>220</v>
      </c>
      <c r="C32" s="152"/>
      <c r="D32" s="151">
        <v>42</v>
      </c>
      <c r="E32" s="152"/>
      <c r="F32" s="151">
        <v>49</v>
      </c>
      <c r="G32" s="151">
        <v>882</v>
      </c>
      <c r="H32" s="151">
        <f>B32+D32+F32+G32</f>
        <v>1193</v>
      </c>
      <c r="I32" s="152"/>
      <c r="J32" s="151">
        <v>3668</v>
      </c>
      <c r="K32" s="153" t="s">
        <v>64</v>
      </c>
      <c r="L32" s="151">
        <v>83</v>
      </c>
      <c r="M32" s="151">
        <f>J32+L32</f>
        <v>3751</v>
      </c>
    </row>
    <row r="33" spans="1:13" ht="12.75">
      <c r="A33" s="8" t="s">
        <v>31</v>
      </c>
      <c r="B33" s="19">
        <v>76</v>
      </c>
      <c r="C33" s="93"/>
      <c r="D33" s="70">
        <v>1</v>
      </c>
      <c r="E33" s="106"/>
      <c r="F33" s="19">
        <v>12</v>
      </c>
      <c r="G33" s="19">
        <v>131</v>
      </c>
      <c r="H33" s="19">
        <f>B33+D33+F33+G33</f>
        <v>220</v>
      </c>
      <c r="I33" s="93"/>
      <c r="J33" s="19">
        <v>88</v>
      </c>
      <c r="K33" s="70" t="s">
        <v>64</v>
      </c>
      <c r="L33" s="19">
        <v>5</v>
      </c>
      <c r="M33" s="19">
        <f>J33+L33</f>
        <v>93</v>
      </c>
    </row>
    <row r="34" spans="1:13" ht="12.75">
      <c r="A34" s="8" t="s">
        <v>30</v>
      </c>
      <c r="B34" s="19">
        <v>107</v>
      </c>
      <c r="C34" s="93"/>
      <c r="D34" s="19">
        <v>5</v>
      </c>
      <c r="E34" s="93"/>
      <c r="F34" s="19">
        <v>51</v>
      </c>
      <c r="G34" s="19">
        <v>326</v>
      </c>
      <c r="H34" s="19">
        <f>B34+D34+F34+G34</f>
        <v>489</v>
      </c>
      <c r="I34" s="93"/>
      <c r="J34" s="19">
        <v>188</v>
      </c>
      <c r="K34" s="70" t="s">
        <v>64</v>
      </c>
      <c r="L34" s="19">
        <v>27</v>
      </c>
      <c r="M34" s="19">
        <f>J34+L34</f>
        <v>215</v>
      </c>
    </row>
    <row r="35" spans="1:13" ht="12.75">
      <c r="A35" s="9" t="s">
        <v>32</v>
      </c>
      <c r="B35" s="63">
        <v>6</v>
      </c>
      <c r="C35" s="95"/>
      <c r="D35" s="63">
        <v>1</v>
      </c>
      <c r="E35" s="95"/>
      <c r="F35" s="63">
        <v>3</v>
      </c>
      <c r="G35" s="63">
        <v>53</v>
      </c>
      <c r="H35" s="63">
        <f>B35+D35+F35+G35</f>
        <v>63</v>
      </c>
      <c r="I35" s="95"/>
      <c r="J35" s="63">
        <v>109</v>
      </c>
      <c r="K35" s="105" t="s">
        <v>64</v>
      </c>
      <c r="L35" s="63">
        <v>6</v>
      </c>
      <c r="M35" s="63">
        <f>J35+L35</f>
        <v>115</v>
      </c>
    </row>
    <row r="36" spans="1:13" ht="24" customHeight="1">
      <c r="A36" s="22"/>
      <c r="B36" s="63"/>
      <c r="C36" s="19"/>
      <c r="D36" s="19"/>
      <c r="E36" s="19"/>
      <c r="F36" s="19"/>
      <c r="G36" s="19"/>
      <c r="H36" s="19"/>
      <c r="I36" s="19"/>
      <c r="J36" s="19"/>
      <c r="K36" s="70"/>
      <c r="L36" s="19"/>
      <c r="M36" s="19"/>
    </row>
    <row r="37" spans="1:13" ht="72.75" customHeight="1">
      <c r="A37" s="183" t="s">
        <v>220</v>
      </c>
      <c r="B37" s="168"/>
      <c r="C37" s="168"/>
      <c r="D37" s="168"/>
      <c r="E37" s="168"/>
      <c r="F37" s="168"/>
      <c r="G37" s="168"/>
      <c r="H37" s="168"/>
      <c r="I37" s="168"/>
      <c r="J37" s="168"/>
      <c r="K37" s="168"/>
      <c r="L37" s="168"/>
      <c r="M37" s="168"/>
    </row>
    <row r="38" ht="12.75">
      <c r="A38" s="28"/>
    </row>
    <row r="39" ht="12.75">
      <c r="A39" s="28"/>
    </row>
    <row r="40" ht="12.75">
      <c r="A40" s="28"/>
    </row>
    <row r="46" spans="1:5" ht="12.75">
      <c r="A46" s="28"/>
      <c r="B46" s="28"/>
      <c r="C46" s="28"/>
      <c r="D46" s="28"/>
      <c r="E46" s="28"/>
    </row>
    <row r="47" ht="12.75">
      <c r="A47" s="28"/>
    </row>
    <row r="48" ht="12.75">
      <c r="A48" s="28"/>
    </row>
    <row r="49" ht="12.75">
      <c r="A49" s="28"/>
    </row>
  </sheetData>
  <sheetProtection/>
  <mergeCells count="4">
    <mergeCell ref="A1:M1"/>
    <mergeCell ref="A3:M3"/>
    <mergeCell ref="A37:M37"/>
    <mergeCell ref="D4:H4"/>
  </mergeCells>
  <printOptions/>
  <pageMargins left="0.7874015748031497" right="0.1968503937007874" top="0.984251968503937" bottom="0.3937007874015748" header="0.5118110236220472" footer="0.5118110236220472"/>
  <pageSetup horizontalDpi="600" verticalDpi="600" orientation="portrait" paperSize="9" r:id="rId2"/>
  <headerFooter alignWithMargins="0">
    <oddHeader>&amp;R45</oddHeader>
  </headerFooter>
  <drawing r:id="rId1"/>
</worksheet>
</file>

<file path=xl/worksheets/sheet16.xml><?xml version="1.0" encoding="utf-8"?>
<worksheet xmlns="http://schemas.openxmlformats.org/spreadsheetml/2006/main" xmlns:r="http://schemas.openxmlformats.org/officeDocument/2006/relationships">
  <dimension ref="A1:R42"/>
  <sheetViews>
    <sheetView zoomScalePageLayoutView="0" workbookViewId="0" topLeftCell="A1">
      <selection activeCell="D34" sqref="D34:D35"/>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186" t="s">
        <v>154</v>
      </c>
      <c r="B1" s="168"/>
      <c r="C1" s="168"/>
      <c r="D1" s="168"/>
      <c r="E1" s="168"/>
      <c r="F1" s="168"/>
      <c r="G1" s="168"/>
      <c r="H1" s="168"/>
      <c r="I1" s="168"/>
      <c r="J1" s="168"/>
      <c r="K1" s="174"/>
      <c r="L1" s="17"/>
      <c r="M1" s="17"/>
      <c r="N1" s="17"/>
      <c r="O1" s="16"/>
    </row>
    <row r="2" spans="1:15" s="6" customFormat="1" ht="7.5" customHeight="1">
      <c r="A2" s="23"/>
      <c r="B2" s="26"/>
      <c r="C2" s="26"/>
      <c r="D2" s="26"/>
      <c r="E2" s="26"/>
      <c r="F2" s="26"/>
      <c r="G2" s="26"/>
      <c r="H2" s="26"/>
      <c r="I2" s="26"/>
      <c r="J2" s="26"/>
      <c r="K2" s="17"/>
      <c r="L2" s="17"/>
      <c r="M2" s="17"/>
      <c r="N2" s="17"/>
      <c r="O2" s="17"/>
    </row>
    <row r="3" spans="1:15" ht="27.75" customHeight="1">
      <c r="A3" s="175" t="s">
        <v>155</v>
      </c>
      <c r="B3" s="175"/>
      <c r="C3" s="175"/>
      <c r="D3" s="175"/>
      <c r="E3" s="175"/>
      <c r="F3" s="175"/>
      <c r="G3" s="175"/>
      <c r="H3" s="175"/>
      <c r="I3" s="175"/>
      <c r="J3" s="175"/>
      <c r="K3" s="187"/>
      <c r="L3" s="17"/>
      <c r="M3" s="17"/>
      <c r="N3" s="17"/>
      <c r="O3" s="16"/>
    </row>
    <row r="4" spans="1:17" ht="18.75" customHeight="1">
      <c r="A4" s="15" t="s">
        <v>109</v>
      </c>
      <c r="B4" s="166" t="s">
        <v>9</v>
      </c>
      <c r="C4" s="166"/>
      <c r="D4" s="12"/>
      <c r="E4" s="166" t="s">
        <v>75</v>
      </c>
      <c r="F4" s="166"/>
      <c r="G4" s="12"/>
      <c r="H4" s="166" t="s">
        <v>4</v>
      </c>
      <c r="I4" s="166"/>
      <c r="J4" s="166"/>
      <c r="K4" s="86"/>
      <c r="L4" s="15"/>
      <c r="M4" s="12"/>
      <c r="N4" s="12"/>
      <c r="O4" s="12"/>
      <c r="P4" s="12"/>
      <c r="Q4" s="12"/>
    </row>
    <row r="5" spans="1:17" ht="26.25" customHeight="1">
      <c r="A5" s="5" t="s">
        <v>127</v>
      </c>
      <c r="B5" s="10" t="s">
        <v>77</v>
      </c>
      <c r="C5" s="10" t="s">
        <v>78</v>
      </c>
      <c r="D5" s="10"/>
      <c r="E5" s="10" t="s">
        <v>77</v>
      </c>
      <c r="F5" s="10" t="s">
        <v>78</v>
      </c>
      <c r="G5" s="10"/>
      <c r="H5" s="10" t="s">
        <v>77</v>
      </c>
      <c r="I5" s="10" t="s">
        <v>78</v>
      </c>
      <c r="J5" s="49" t="s">
        <v>58</v>
      </c>
      <c r="K5" s="49" t="s">
        <v>107</v>
      </c>
      <c r="L5" s="57"/>
      <c r="M5" s="57"/>
      <c r="N5" s="56"/>
      <c r="O5" s="20"/>
      <c r="P5" s="20"/>
      <c r="Q5" s="20"/>
    </row>
    <row r="6" spans="1:17" ht="26.25" customHeight="1">
      <c r="A6" s="111" t="s">
        <v>37</v>
      </c>
      <c r="B6" s="112">
        <f>B8+B9+B15+B20+B23+B26+B30+B33</f>
        <v>11492</v>
      </c>
      <c r="C6" s="112">
        <f>C8+C9+C15+C20+C23+C26+C30+C33</f>
        <v>5123</v>
      </c>
      <c r="D6" s="112"/>
      <c r="E6" s="112">
        <f>E8+E9+E15+E20+E23+E26+E30+E33</f>
        <v>52196</v>
      </c>
      <c r="F6" s="112">
        <f>F8+F9+F15+F20+F23+F26+F30+F33</f>
        <v>30411</v>
      </c>
      <c r="G6" s="112"/>
      <c r="H6" s="112">
        <f>H8+H9+H15+H20+H23+H26+H30+H33</f>
        <v>63688</v>
      </c>
      <c r="I6" s="112">
        <f>I8+I9+I15+I20+I23+I26+I30+I33</f>
        <v>35534</v>
      </c>
      <c r="J6" s="112">
        <f>J8+J9+J15+J20+J23+J26+J30+J33</f>
        <v>99222</v>
      </c>
      <c r="K6" s="112">
        <f>K8+K9+K15+K20+K23+K26+K30+K33</f>
        <v>100</v>
      </c>
      <c r="L6" s="57"/>
      <c r="M6" s="57"/>
      <c r="N6" s="56"/>
      <c r="O6" s="20"/>
      <c r="P6" s="20"/>
      <c r="Q6" s="20"/>
    </row>
    <row r="7" spans="1:17" ht="18.75" customHeight="1">
      <c r="A7" s="61" t="s">
        <v>35</v>
      </c>
      <c r="B7" s="112">
        <v>3209</v>
      </c>
      <c r="C7" s="112">
        <v>1252</v>
      </c>
      <c r="D7" s="108"/>
      <c r="E7" s="112">
        <v>12434</v>
      </c>
      <c r="F7" s="112">
        <v>7749</v>
      </c>
      <c r="G7" s="112"/>
      <c r="H7" s="112">
        <f aca="true" t="shared" si="0" ref="H7:I10">B7+E7</f>
        <v>15643</v>
      </c>
      <c r="I7" s="112">
        <f t="shared" si="0"/>
        <v>9001</v>
      </c>
      <c r="J7" s="112">
        <f aca="true" t="shared" si="1" ref="J7:J35">H7+I7</f>
        <v>24644</v>
      </c>
      <c r="K7" s="112">
        <f aca="true" t="shared" si="2" ref="K7:K35">(J7/J$6)*100</f>
        <v>24.837233678014954</v>
      </c>
      <c r="L7" s="1"/>
      <c r="M7" s="4"/>
      <c r="N7" s="1"/>
      <c r="O7" s="1"/>
      <c r="P7" s="4"/>
      <c r="Q7" s="1"/>
    </row>
    <row r="8" spans="1:17" ht="14.25" customHeight="1">
      <c r="A8" s="1" t="s">
        <v>80</v>
      </c>
      <c r="B8" s="4">
        <v>3209</v>
      </c>
      <c r="C8" s="4">
        <v>1252</v>
      </c>
      <c r="D8" s="92"/>
      <c r="E8" s="4">
        <v>12434</v>
      </c>
      <c r="F8" s="4">
        <v>7749</v>
      </c>
      <c r="G8" s="4"/>
      <c r="H8" s="4">
        <f t="shared" si="0"/>
        <v>15643</v>
      </c>
      <c r="I8" s="4">
        <f t="shared" si="0"/>
        <v>9001</v>
      </c>
      <c r="J8" s="4">
        <f t="shared" si="1"/>
        <v>24644</v>
      </c>
      <c r="K8" s="19">
        <f t="shared" si="2"/>
        <v>24.837233678014954</v>
      </c>
      <c r="L8" s="1"/>
      <c r="M8" s="1"/>
      <c r="N8" s="1"/>
      <c r="O8" s="1"/>
      <c r="P8" s="4"/>
      <c r="Q8" s="1"/>
    </row>
    <row r="9" spans="1:17" ht="18.75" customHeight="1">
      <c r="A9" s="14" t="s">
        <v>81</v>
      </c>
      <c r="B9" s="115">
        <f>B10+B11+B12+B13+B14</f>
        <v>2051</v>
      </c>
      <c r="C9" s="115">
        <f>C10+C11+C12+C13+C14</f>
        <v>1087</v>
      </c>
      <c r="D9" s="115"/>
      <c r="E9" s="115">
        <f>E10+E11+E12+E13+E14</f>
        <v>8981</v>
      </c>
      <c r="F9" s="115">
        <f>F10+F11+F12+F13+F14</f>
        <v>5255</v>
      </c>
      <c r="G9" s="115"/>
      <c r="H9" s="115">
        <f t="shared" si="0"/>
        <v>11032</v>
      </c>
      <c r="I9" s="115">
        <f t="shared" si="0"/>
        <v>6342</v>
      </c>
      <c r="J9" s="115">
        <f t="shared" si="1"/>
        <v>17374</v>
      </c>
      <c r="K9" s="112">
        <f t="shared" si="2"/>
        <v>17.510229586180483</v>
      </c>
      <c r="L9" s="1"/>
      <c r="M9" s="1"/>
      <c r="N9" s="1"/>
      <c r="O9" s="1"/>
      <c r="P9" s="4"/>
      <c r="Q9" s="1"/>
    </row>
    <row r="10" spans="1:17" ht="12.75">
      <c r="A10" s="11" t="s">
        <v>82</v>
      </c>
      <c r="B10" s="4">
        <v>395</v>
      </c>
      <c r="C10" s="4">
        <v>211</v>
      </c>
      <c r="D10" s="92"/>
      <c r="E10" s="4">
        <v>1683</v>
      </c>
      <c r="F10" s="4">
        <v>1049</v>
      </c>
      <c r="G10" s="4"/>
      <c r="H10" s="4">
        <f t="shared" si="0"/>
        <v>2078</v>
      </c>
      <c r="I10" s="4">
        <f t="shared" si="0"/>
        <v>1260</v>
      </c>
      <c r="J10" s="4">
        <f t="shared" si="1"/>
        <v>3338</v>
      </c>
      <c r="K10" s="19">
        <f t="shared" si="2"/>
        <v>3.3641732680252363</v>
      </c>
      <c r="L10" s="1"/>
      <c r="M10" s="1"/>
      <c r="N10" s="1"/>
      <c r="O10" s="1"/>
      <c r="P10" s="4"/>
      <c r="Q10" s="1"/>
    </row>
    <row r="11" spans="1:18" ht="12.75">
      <c r="A11" s="3" t="s">
        <v>83</v>
      </c>
      <c r="B11" s="4">
        <v>470</v>
      </c>
      <c r="C11" s="4">
        <v>205</v>
      </c>
      <c r="D11" s="92"/>
      <c r="E11" s="4">
        <v>1612</v>
      </c>
      <c r="F11" s="4">
        <v>956</v>
      </c>
      <c r="G11" s="4"/>
      <c r="H11" s="4">
        <f aca="true" t="shared" si="3" ref="H11:I14">B11+E11</f>
        <v>2082</v>
      </c>
      <c r="I11" s="4">
        <f t="shared" si="3"/>
        <v>1161</v>
      </c>
      <c r="J11" s="4">
        <f t="shared" si="1"/>
        <v>3243</v>
      </c>
      <c r="K11" s="19">
        <f t="shared" si="2"/>
        <v>3.2684283727399164</v>
      </c>
      <c r="L11" s="1"/>
      <c r="M11" s="1"/>
      <c r="N11" s="1"/>
      <c r="O11" s="1"/>
      <c r="P11" s="4"/>
      <c r="Q11" s="1"/>
      <c r="R11" s="16"/>
    </row>
    <row r="12" spans="1:17" ht="12.75">
      <c r="A12" s="3" t="s">
        <v>84</v>
      </c>
      <c r="B12" s="4">
        <v>609</v>
      </c>
      <c r="C12" s="4">
        <v>302</v>
      </c>
      <c r="D12" s="92"/>
      <c r="E12" s="4">
        <v>2766</v>
      </c>
      <c r="F12" s="4">
        <v>1643</v>
      </c>
      <c r="G12" s="4"/>
      <c r="H12" s="4">
        <f t="shared" si="3"/>
        <v>3375</v>
      </c>
      <c r="I12" s="4">
        <f t="shared" si="3"/>
        <v>1945</v>
      </c>
      <c r="J12" s="4">
        <f t="shared" si="1"/>
        <v>5320</v>
      </c>
      <c r="K12" s="19">
        <f t="shared" si="2"/>
        <v>5.361714135977908</v>
      </c>
      <c r="L12" s="1"/>
      <c r="M12" s="4"/>
      <c r="N12" s="1"/>
      <c r="O12" s="1"/>
      <c r="P12" s="4"/>
      <c r="Q12" s="1"/>
    </row>
    <row r="13" spans="1:17" ht="12.75">
      <c r="A13" s="3" t="s">
        <v>36</v>
      </c>
      <c r="B13" s="4">
        <v>344</v>
      </c>
      <c r="C13" s="4">
        <v>225</v>
      </c>
      <c r="D13" s="92"/>
      <c r="E13" s="4">
        <v>1546</v>
      </c>
      <c r="F13" s="4">
        <v>884</v>
      </c>
      <c r="G13" s="4"/>
      <c r="H13" s="4">
        <f t="shared" si="3"/>
        <v>1890</v>
      </c>
      <c r="I13" s="4">
        <f t="shared" si="3"/>
        <v>1109</v>
      </c>
      <c r="J13" s="4">
        <f t="shared" si="1"/>
        <v>2999</v>
      </c>
      <c r="K13" s="19">
        <f t="shared" si="2"/>
        <v>3.022515168007095</v>
      </c>
      <c r="L13" s="1"/>
      <c r="M13" s="1"/>
      <c r="N13" s="1"/>
      <c r="O13" s="1"/>
      <c r="P13" s="4"/>
      <c r="Q13" s="1"/>
    </row>
    <row r="14" spans="1:17" ht="12.75">
      <c r="A14" s="3" t="s">
        <v>85</v>
      </c>
      <c r="B14" s="4">
        <v>233</v>
      </c>
      <c r="C14" s="4">
        <v>144</v>
      </c>
      <c r="D14" s="92"/>
      <c r="E14" s="4">
        <v>1374</v>
      </c>
      <c r="F14" s="4">
        <v>723</v>
      </c>
      <c r="G14" s="4"/>
      <c r="H14" s="4">
        <f t="shared" si="3"/>
        <v>1607</v>
      </c>
      <c r="I14" s="4">
        <f t="shared" si="3"/>
        <v>867</v>
      </c>
      <c r="J14" s="4">
        <f t="shared" si="1"/>
        <v>2474</v>
      </c>
      <c r="K14" s="19">
        <f t="shared" si="2"/>
        <v>2.493398641430328</v>
      </c>
      <c r="L14" s="1"/>
      <c r="M14" s="1"/>
      <c r="N14" s="1"/>
      <c r="O14" s="1"/>
      <c r="P14" s="4"/>
      <c r="Q14" s="1"/>
    </row>
    <row r="15" spans="1:17" ht="18.75" customHeight="1">
      <c r="A15" s="89" t="s">
        <v>86</v>
      </c>
      <c r="B15" s="115">
        <f>B16+B17+B18+B19</f>
        <v>774</v>
      </c>
      <c r="C15" s="115">
        <f>C16+C17+C18+C19</f>
        <v>323</v>
      </c>
      <c r="D15" s="115"/>
      <c r="E15" s="115">
        <f>E16+E17+E18+E19</f>
        <v>4251</v>
      </c>
      <c r="F15" s="115">
        <f>F16+F17+F18+F19</f>
        <v>2237</v>
      </c>
      <c r="G15" s="115"/>
      <c r="H15" s="115">
        <f>B15+E15</f>
        <v>5025</v>
      </c>
      <c r="I15" s="115">
        <f>C15+F15</f>
        <v>2560</v>
      </c>
      <c r="J15" s="115">
        <f t="shared" si="1"/>
        <v>7585</v>
      </c>
      <c r="K15" s="112">
        <f t="shared" si="2"/>
        <v>7.644474007780532</v>
      </c>
      <c r="Q15" s="1"/>
    </row>
    <row r="16" spans="1:17" ht="12.75">
      <c r="A16" s="3" t="s">
        <v>87</v>
      </c>
      <c r="B16" s="4">
        <v>392</v>
      </c>
      <c r="C16" s="4">
        <v>127</v>
      </c>
      <c r="D16" s="92"/>
      <c r="E16" s="4">
        <v>1811</v>
      </c>
      <c r="F16" s="4">
        <v>911</v>
      </c>
      <c r="G16" s="4"/>
      <c r="H16" s="4">
        <f>B16+E16</f>
        <v>2203</v>
      </c>
      <c r="I16" s="4">
        <f>C16+F16</f>
        <v>1038</v>
      </c>
      <c r="J16" s="4">
        <f t="shared" si="1"/>
        <v>3241</v>
      </c>
      <c r="K16" s="19">
        <f t="shared" si="2"/>
        <v>3.26641269073391</v>
      </c>
      <c r="Q16" s="1"/>
    </row>
    <row r="17" spans="1:11" ht="12.75">
      <c r="A17" s="3" t="s">
        <v>88</v>
      </c>
      <c r="B17" s="4">
        <v>146</v>
      </c>
      <c r="C17" s="4">
        <v>70</v>
      </c>
      <c r="D17" s="92"/>
      <c r="E17" s="4">
        <v>790</v>
      </c>
      <c r="F17" s="4">
        <v>419</v>
      </c>
      <c r="G17" s="4"/>
      <c r="H17" s="4">
        <f aca="true" t="shared" si="4" ref="H17:I19">B17+E17</f>
        <v>936</v>
      </c>
      <c r="I17" s="4">
        <f t="shared" si="4"/>
        <v>489</v>
      </c>
      <c r="J17" s="4">
        <f t="shared" si="1"/>
        <v>1425</v>
      </c>
      <c r="K17" s="19">
        <f t="shared" si="2"/>
        <v>1.4361734292797967</v>
      </c>
    </row>
    <row r="18" spans="1:11" ht="12.75">
      <c r="A18" s="3" t="s">
        <v>89</v>
      </c>
      <c r="B18" s="4">
        <v>183</v>
      </c>
      <c r="C18" s="4">
        <v>97</v>
      </c>
      <c r="D18" s="92"/>
      <c r="E18" s="4">
        <v>1176</v>
      </c>
      <c r="F18" s="4">
        <v>669</v>
      </c>
      <c r="G18" s="4"/>
      <c r="H18" s="4">
        <f t="shared" si="4"/>
        <v>1359</v>
      </c>
      <c r="I18" s="4">
        <f t="shared" si="4"/>
        <v>766</v>
      </c>
      <c r="J18" s="4">
        <f t="shared" si="1"/>
        <v>2125</v>
      </c>
      <c r="K18" s="19">
        <f t="shared" si="2"/>
        <v>2.1416621313821533</v>
      </c>
    </row>
    <row r="19" spans="1:11" ht="12.75">
      <c r="A19" s="3" t="s">
        <v>90</v>
      </c>
      <c r="B19" s="4">
        <v>53</v>
      </c>
      <c r="C19" s="4">
        <v>29</v>
      </c>
      <c r="D19" s="92"/>
      <c r="E19" s="4">
        <v>474</v>
      </c>
      <c r="F19" s="4">
        <v>238</v>
      </c>
      <c r="G19" s="4"/>
      <c r="H19" s="4">
        <f t="shared" si="4"/>
        <v>527</v>
      </c>
      <c r="I19" s="4">
        <f t="shared" si="4"/>
        <v>267</v>
      </c>
      <c r="J19" s="4">
        <f t="shared" si="1"/>
        <v>794</v>
      </c>
      <c r="K19" s="19">
        <f t="shared" si="2"/>
        <v>0.8002257563846726</v>
      </c>
    </row>
    <row r="20" spans="1:11" ht="18.75" customHeight="1">
      <c r="A20" s="89" t="s">
        <v>91</v>
      </c>
      <c r="B20" s="115">
        <f>B21+B22</f>
        <v>2627</v>
      </c>
      <c r="C20" s="115">
        <f>C21+C22</f>
        <v>1282</v>
      </c>
      <c r="D20" s="115"/>
      <c r="E20" s="115">
        <f>E21+E22</f>
        <v>8524</v>
      </c>
      <c r="F20" s="115">
        <f>F21+F22</f>
        <v>5104</v>
      </c>
      <c r="G20" s="115"/>
      <c r="H20" s="115">
        <f aca="true" t="shared" si="5" ref="H20:H35">B20+E20</f>
        <v>11151</v>
      </c>
      <c r="I20" s="115">
        <f aca="true" t="shared" si="6" ref="I20:I35">C20+F20</f>
        <v>6386</v>
      </c>
      <c r="J20" s="115">
        <f t="shared" si="1"/>
        <v>17537</v>
      </c>
      <c r="K20" s="112">
        <f t="shared" si="2"/>
        <v>17.674507669670035</v>
      </c>
    </row>
    <row r="21" spans="1:11" ht="12.75">
      <c r="A21" s="3" t="s">
        <v>92</v>
      </c>
      <c r="B21" s="4">
        <v>125</v>
      </c>
      <c r="C21" s="4">
        <v>59</v>
      </c>
      <c r="D21" s="92"/>
      <c r="E21" s="4">
        <v>693</v>
      </c>
      <c r="F21" s="4">
        <v>476</v>
      </c>
      <c r="G21" s="4"/>
      <c r="H21" s="4">
        <f t="shared" si="5"/>
        <v>818</v>
      </c>
      <c r="I21" s="4">
        <f t="shared" si="6"/>
        <v>535</v>
      </c>
      <c r="J21" s="4">
        <f t="shared" si="1"/>
        <v>1353</v>
      </c>
      <c r="K21" s="19">
        <f t="shared" si="2"/>
        <v>1.3636088770635544</v>
      </c>
    </row>
    <row r="22" spans="1:11" ht="12.75">
      <c r="A22" s="21" t="s">
        <v>93</v>
      </c>
      <c r="B22" s="4">
        <v>2502</v>
      </c>
      <c r="C22" s="4">
        <v>1223</v>
      </c>
      <c r="D22" s="92"/>
      <c r="E22" s="4">
        <v>7831</v>
      </c>
      <c r="F22" s="4">
        <v>4628</v>
      </c>
      <c r="G22" s="4"/>
      <c r="H22" s="4">
        <f t="shared" si="5"/>
        <v>10333</v>
      </c>
      <c r="I22" s="4">
        <f t="shared" si="6"/>
        <v>5851</v>
      </c>
      <c r="J22" s="4">
        <f t="shared" si="1"/>
        <v>16184</v>
      </c>
      <c r="K22" s="19">
        <f t="shared" si="2"/>
        <v>16.31089879260648</v>
      </c>
    </row>
    <row r="23" spans="1:11" ht="18.75" customHeight="1">
      <c r="A23" s="89" t="s">
        <v>94</v>
      </c>
      <c r="B23" s="115">
        <f>B24+B25</f>
        <v>1872</v>
      </c>
      <c r="C23" s="115">
        <f>C24+C25</f>
        <v>704</v>
      </c>
      <c r="D23" s="115"/>
      <c r="E23" s="115">
        <f>E24+E25</f>
        <v>10096</v>
      </c>
      <c r="F23" s="115">
        <f>F24+F25</f>
        <v>5201</v>
      </c>
      <c r="G23" s="115"/>
      <c r="H23" s="115">
        <f t="shared" si="5"/>
        <v>11968</v>
      </c>
      <c r="I23" s="115">
        <f t="shared" si="6"/>
        <v>5905</v>
      </c>
      <c r="J23" s="115">
        <f t="shared" si="1"/>
        <v>17873</v>
      </c>
      <c r="K23" s="112">
        <f t="shared" si="2"/>
        <v>18.013142246679166</v>
      </c>
    </row>
    <row r="24" spans="1:11" ht="12.75">
      <c r="A24" s="3" t="s">
        <v>95</v>
      </c>
      <c r="B24" s="4">
        <v>192</v>
      </c>
      <c r="C24" s="4">
        <v>93</v>
      </c>
      <c r="D24" s="92"/>
      <c r="E24" s="4">
        <v>1351</v>
      </c>
      <c r="F24" s="4">
        <v>698</v>
      </c>
      <c r="G24" s="4"/>
      <c r="H24" s="4">
        <f t="shared" si="5"/>
        <v>1543</v>
      </c>
      <c r="I24" s="4">
        <f t="shared" si="6"/>
        <v>791</v>
      </c>
      <c r="J24" s="4">
        <f t="shared" si="1"/>
        <v>2334</v>
      </c>
      <c r="K24" s="19">
        <f t="shared" si="2"/>
        <v>2.3523009010098566</v>
      </c>
    </row>
    <row r="25" spans="1:11" ht="12.75">
      <c r="A25" s="3" t="s">
        <v>96</v>
      </c>
      <c r="B25" s="4">
        <v>1680</v>
      </c>
      <c r="C25" s="4">
        <v>611</v>
      </c>
      <c r="D25" s="92"/>
      <c r="E25" s="4">
        <v>8745</v>
      </c>
      <c r="F25" s="4">
        <v>4503</v>
      </c>
      <c r="G25" s="4"/>
      <c r="H25" s="4">
        <f t="shared" si="5"/>
        <v>10425</v>
      </c>
      <c r="I25" s="4">
        <f t="shared" si="6"/>
        <v>5114</v>
      </c>
      <c r="J25" s="4">
        <f t="shared" si="1"/>
        <v>15539</v>
      </c>
      <c r="K25" s="19">
        <f t="shared" si="2"/>
        <v>15.660841345669308</v>
      </c>
    </row>
    <row r="26" spans="1:11" ht="18.75" customHeight="1">
      <c r="A26" s="89" t="s">
        <v>97</v>
      </c>
      <c r="B26" s="115">
        <f>B27+B28+B29</f>
        <v>595</v>
      </c>
      <c r="C26" s="115">
        <f>C27+C28+C29</f>
        <v>272</v>
      </c>
      <c r="D26" s="115"/>
      <c r="E26" s="115">
        <f>E27+E28+E29</f>
        <v>4069</v>
      </c>
      <c r="F26" s="115">
        <f>F27+F28+F29</f>
        <v>2267</v>
      </c>
      <c r="G26" s="115"/>
      <c r="H26" s="115">
        <f t="shared" si="5"/>
        <v>4664</v>
      </c>
      <c r="I26" s="115">
        <f t="shared" si="6"/>
        <v>2539</v>
      </c>
      <c r="J26" s="115">
        <f t="shared" si="1"/>
        <v>7203</v>
      </c>
      <c r="K26" s="112">
        <f t="shared" si="2"/>
        <v>7.259478744633246</v>
      </c>
    </row>
    <row r="27" spans="1:11" ht="12.75">
      <c r="A27" s="3" t="s">
        <v>98</v>
      </c>
      <c r="B27" s="4">
        <v>127</v>
      </c>
      <c r="C27" s="4">
        <v>54</v>
      </c>
      <c r="D27" s="92"/>
      <c r="E27" s="4">
        <v>1215</v>
      </c>
      <c r="F27" s="4">
        <v>712</v>
      </c>
      <c r="G27" s="4"/>
      <c r="H27" s="4">
        <f t="shared" si="5"/>
        <v>1342</v>
      </c>
      <c r="I27" s="4">
        <f t="shared" si="6"/>
        <v>766</v>
      </c>
      <c r="J27" s="4">
        <f t="shared" si="1"/>
        <v>2108</v>
      </c>
      <c r="K27" s="19">
        <f t="shared" si="2"/>
        <v>2.124528834331096</v>
      </c>
    </row>
    <row r="28" spans="1:11" ht="12.75">
      <c r="A28" s="1" t="s">
        <v>99</v>
      </c>
      <c r="B28" s="4">
        <v>291</v>
      </c>
      <c r="C28" s="4">
        <v>128</v>
      </c>
      <c r="D28" s="92"/>
      <c r="E28" s="4">
        <v>1464</v>
      </c>
      <c r="F28" s="4">
        <v>782</v>
      </c>
      <c r="G28" s="4"/>
      <c r="H28" s="4">
        <f t="shared" si="5"/>
        <v>1755</v>
      </c>
      <c r="I28" s="4">
        <f t="shared" si="6"/>
        <v>910</v>
      </c>
      <c r="J28" s="4">
        <f t="shared" si="1"/>
        <v>2665</v>
      </c>
      <c r="K28" s="19">
        <f t="shared" si="2"/>
        <v>2.685896273003971</v>
      </c>
    </row>
    <row r="29" spans="1:11" ht="12.75">
      <c r="A29" s="1" t="s">
        <v>100</v>
      </c>
      <c r="B29" s="4">
        <v>177</v>
      </c>
      <c r="C29" s="4">
        <v>90</v>
      </c>
      <c r="D29" s="92"/>
      <c r="E29" s="4">
        <v>1390</v>
      </c>
      <c r="F29" s="4">
        <v>773</v>
      </c>
      <c r="G29" s="4"/>
      <c r="H29" s="4">
        <f t="shared" si="5"/>
        <v>1567</v>
      </c>
      <c r="I29" s="4">
        <f t="shared" si="6"/>
        <v>863</v>
      </c>
      <c r="J29" s="4">
        <f t="shared" si="1"/>
        <v>2430</v>
      </c>
      <c r="K29" s="19">
        <f t="shared" si="2"/>
        <v>2.4490536372981797</v>
      </c>
    </row>
    <row r="30" spans="1:11" ht="18.75" customHeight="1">
      <c r="A30" s="14" t="s">
        <v>101</v>
      </c>
      <c r="B30" s="115">
        <f>B31+B32</f>
        <v>183</v>
      </c>
      <c r="C30" s="115">
        <f>C31+C32</f>
        <v>101</v>
      </c>
      <c r="D30" s="115"/>
      <c r="E30" s="115">
        <f>E31+E32</f>
        <v>1615</v>
      </c>
      <c r="F30" s="115">
        <f>F31+F32</f>
        <v>1020</v>
      </c>
      <c r="G30" s="115"/>
      <c r="H30" s="115">
        <f t="shared" si="5"/>
        <v>1798</v>
      </c>
      <c r="I30" s="115">
        <f t="shared" si="6"/>
        <v>1121</v>
      </c>
      <c r="J30" s="115">
        <f t="shared" si="1"/>
        <v>2919</v>
      </c>
      <c r="K30" s="112">
        <f t="shared" si="2"/>
        <v>2.941887887766826</v>
      </c>
    </row>
    <row r="31" spans="1:11" ht="12.75">
      <c r="A31" s="1" t="s">
        <v>102</v>
      </c>
      <c r="B31" s="4">
        <v>162</v>
      </c>
      <c r="C31" s="4">
        <v>80</v>
      </c>
      <c r="D31" s="92"/>
      <c r="E31" s="4">
        <v>1068</v>
      </c>
      <c r="F31" s="4">
        <v>719</v>
      </c>
      <c r="G31" s="4"/>
      <c r="H31" s="4">
        <f t="shared" si="5"/>
        <v>1230</v>
      </c>
      <c r="I31" s="4">
        <f t="shared" si="6"/>
        <v>799</v>
      </c>
      <c r="J31" s="4">
        <f t="shared" si="1"/>
        <v>2029</v>
      </c>
      <c r="K31" s="19">
        <f t="shared" si="2"/>
        <v>2.0449093950938297</v>
      </c>
    </row>
    <row r="32" spans="1:11" ht="12.75">
      <c r="A32" s="1" t="s">
        <v>103</v>
      </c>
      <c r="B32" s="4">
        <v>21</v>
      </c>
      <c r="C32" s="4">
        <v>21</v>
      </c>
      <c r="D32" s="92"/>
      <c r="E32" s="4">
        <v>547</v>
      </c>
      <c r="F32" s="4">
        <v>301</v>
      </c>
      <c r="G32" s="4"/>
      <c r="H32" s="4">
        <f t="shared" si="5"/>
        <v>568</v>
      </c>
      <c r="I32" s="4">
        <f t="shared" si="6"/>
        <v>322</v>
      </c>
      <c r="J32" s="4">
        <f t="shared" si="1"/>
        <v>890</v>
      </c>
      <c r="K32" s="19">
        <f t="shared" si="2"/>
        <v>0.896978492672996</v>
      </c>
    </row>
    <row r="33" spans="1:11" ht="18.75" customHeight="1">
      <c r="A33" s="14" t="s">
        <v>104</v>
      </c>
      <c r="B33" s="115">
        <f>B34+B35</f>
        <v>181</v>
      </c>
      <c r="C33" s="115">
        <f>C34+C35</f>
        <v>102</v>
      </c>
      <c r="D33" s="115"/>
      <c r="E33" s="115">
        <f>E34+E35</f>
        <v>2226</v>
      </c>
      <c r="F33" s="115">
        <f>F34+F35</f>
        <v>1578</v>
      </c>
      <c r="G33" s="115"/>
      <c r="H33" s="115">
        <f t="shared" si="5"/>
        <v>2407</v>
      </c>
      <c r="I33" s="115">
        <f t="shared" si="6"/>
        <v>1680</v>
      </c>
      <c r="J33" s="115">
        <f t="shared" si="1"/>
        <v>4087</v>
      </c>
      <c r="K33" s="112">
        <f t="shared" si="2"/>
        <v>4.119046179274758</v>
      </c>
    </row>
    <row r="34" spans="1:11" ht="12.75">
      <c r="A34" s="1" t="s">
        <v>105</v>
      </c>
      <c r="B34" s="4">
        <v>121</v>
      </c>
      <c r="C34" s="4">
        <v>69</v>
      </c>
      <c r="D34" s="92"/>
      <c r="E34" s="4">
        <v>1219</v>
      </c>
      <c r="F34" s="4">
        <v>935</v>
      </c>
      <c r="G34" s="4"/>
      <c r="H34" s="4">
        <f t="shared" si="5"/>
        <v>1340</v>
      </c>
      <c r="I34" s="4">
        <f t="shared" si="6"/>
        <v>1004</v>
      </c>
      <c r="J34" s="4">
        <f t="shared" si="1"/>
        <v>2344</v>
      </c>
      <c r="K34" s="19">
        <f t="shared" si="2"/>
        <v>2.36237931103989</v>
      </c>
    </row>
    <row r="35" spans="1:11" ht="12.75">
      <c r="A35" s="2" t="s">
        <v>106</v>
      </c>
      <c r="B35" s="63">
        <v>60</v>
      </c>
      <c r="C35" s="63">
        <v>33</v>
      </c>
      <c r="D35" s="95"/>
      <c r="E35" s="63">
        <v>1007</v>
      </c>
      <c r="F35" s="63">
        <v>643</v>
      </c>
      <c r="G35" s="63"/>
      <c r="H35" s="63">
        <f t="shared" si="5"/>
        <v>1067</v>
      </c>
      <c r="I35" s="63">
        <f t="shared" si="6"/>
        <v>676</v>
      </c>
      <c r="J35" s="63">
        <f t="shared" si="1"/>
        <v>1743</v>
      </c>
      <c r="K35" s="63">
        <f t="shared" si="2"/>
        <v>1.7566668682348672</v>
      </c>
    </row>
    <row r="36" spans="1:15" ht="24" customHeight="1">
      <c r="A36" s="2"/>
      <c r="B36" s="19"/>
      <c r="C36" s="19"/>
      <c r="D36" s="19"/>
      <c r="E36" s="19"/>
      <c r="F36" s="19"/>
      <c r="G36" s="19"/>
      <c r="H36" s="19"/>
      <c r="I36" s="19"/>
      <c r="J36" s="19"/>
      <c r="K36" s="6"/>
      <c r="L36" s="6"/>
      <c r="M36" s="6"/>
      <c r="N36" s="6"/>
      <c r="O36" s="6"/>
    </row>
    <row r="37" spans="1:15" ht="36.75" customHeight="1">
      <c r="A37" s="167" t="s">
        <v>138</v>
      </c>
      <c r="B37" s="168"/>
      <c r="C37" s="168"/>
      <c r="D37" s="168"/>
      <c r="E37" s="168"/>
      <c r="F37" s="168"/>
      <c r="G37" s="168"/>
      <c r="H37" s="168"/>
      <c r="I37" s="168"/>
      <c r="J37" s="168"/>
      <c r="K37" s="172"/>
      <c r="L37" s="58"/>
      <c r="M37" s="58"/>
      <c r="N37" s="58"/>
      <c r="O37" s="58"/>
    </row>
    <row r="39" spans="1:10" ht="12.75">
      <c r="A39" s="6"/>
      <c r="B39" s="6"/>
      <c r="C39" s="6"/>
      <c r="D39" s="6"/>
      <c r="E39" s="6"/>
      <c r="F39" s="6"/>
      <c r="G39" s="6"/>
      <c r="H39" s="6"/>
      <c r="I39" s="6"/>
      <c r="J39" s="6"/>
    </row>
    <row r="40" spans="1:15" ht="12.75">
      <c r="A40" s="60"/>
      <c r="B40" s="58"/>
      <c r="C40" s="58"/>
      <c r="D40" s="58"/>
      <c r="E40" s="58"/>
      <c r="F40" s="58"/>
      <c r="G40" s="58"/>
      <c r="H40" s="58"/>
      <c r="I40" s="58"/>
      <c r="J40" s="58"/>
      <c r="K40" s="58"/>
      <c r="L40" s="58"/>
      <c r="M40" s="58"/>
      <c r="N40" s="58"/>
      <c r="O40" s="58"/>
    </row>
    <row r="42" spans="1:16" ht="12.75">
      <c r="A42" s="18"/>
      <c r="B42" s="17"/>
      <c r="C42" s="17"/>
      <c r="D42" s="17"/>
      <c r="E42" s="17"/>
      <c r="F42" s="17"/>
      <c r="G42" s="17"/>
      <c r="H42" s="17"/>
      <c r="I42" s="17"/>
      <c r="J42" s="17"/>
      <c r="K42" s="17"/>
      <c r="L42" s="17"/>
      <c r="M42" s="17"/>
      <c r="N42" s="17"/>
      <c r="O42" s="17"/>
      <c r="P42" s="17"/>
    </row>
  </sheetData>
  <sheetProtection/>
  <mergeCells count="6">
    <mergeCell ref="A37:K37"/>
    <mergeCell ref="A1:K1"/>
    <mergeCell ref="B4:C4"/>
    <mergeCell ref="E4:F4"/>
    <mergeCell ref="H4:J4"/>
    <mergeCell ref="A3:K3"/>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17.xml><?xml version="1.0" encoding="utf-8"?>
<worksheet xmlns="http://schemas.openxmlformats.org/spreadsheetml/2006/main" xmlns:r="http://schemas.openxmlformats.org/officeDocument/2006/relationships">
  <dimension ref="A1:O37"/>
  <sheetViews>
    <sheetView zoomScalePageLayoutView="0" workbookViewId="0" topLeftCell="A1">
      <selection activeCell="D34" sqref="D34:D35"/>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4.140625" style="0" customWidth="1"/>
  </cols>
  <sheetData>
    <row r="1" spans="1:15" ht="27.75" customHeight="1">
      <c r="A1" s="186" t="s">
        <v>156</v>
      </c>
      <c r="B1" s="168"/>
      <c r="C1" s="168"/>
      <c r="D1" s="168"/>
      <c r="E1" s="168"/>
      <c r="F1" s="168"/>
      <c r="G1" s="168"/>
      <c r="H1" s="168"/>
      <c r="I1" s="168"/>
      <c r="J1" s="168"/>
      <c r="K1" s="174"/>
      <c r="L1" s="172"/>
      <c r="M1" s="17"/>
      <c r="N1" s="17"/>
      <c r="O1" s="16"/>
    </row>
    <row r="2" spans="1:15" ht="7.5" customHeight="1">
      <c r="A2" s="23"/>
      <c r="B2" s="26"/>
      <c r="C2" s="26"/>
      <c r="D2" s="26"/>
      <c r="E2" s="26"/>
      <c r="F2" s="26"/>
      <c r="G2" s="26"/>
      <c r="H2" s="26"/>
      <c r="I2" s="26"/>
      <c r="J2" s="26"/>
      <c r="K2" s="17"/>
      <c r="L2" s="17"/>
      <c r="M2" s="17"/>
      <c r="N2" s="17"/>
      <c r="O2" s="16"/>
    </row>
    <row r="3" spans="1:15" ht="24.75" customHeight="1">
      <c r="A3" s="175" t="s">
        <v>157</v>
      </c>
      <c r="B3" s="175"/>
      <c r="C3" s="175"/>
      <c r="D3" s="175"/>
      <c r="E3" s="175"/>
      <c r="F3" s="175"/>
      <c r="G3" s="175"/>
      <c r="H3" s="175"/>
      <c r="I3" s="175"/>
      <c r="J3" s="175"/>
      <c r="K3" s="187"/>
      <c r="L3" s="17"/>
      <c r="M3" s="17"/>
      <c r="N3" s="17"/>
      <c r="O3" s="16"/>
    </row>
    <row r="4" spans="1:15" ht="18.75" customHeight="1">
      <c r="A4" s="15" t="s">
        <v>109</v>
      </c>
      <c r="B4" s="166" t="s">
        <v>9</v>
      </c>
      <c r="C4" s="166"/>
      <c r="D4" s="12"/>
      <c r="E4" s="166" t="s">
        <v>75</v>
      </c>
      <c r="F4" s="166"/>
      <c r="G4" s="12"/>
      <c r="H4" s="86" t="s">
        <v>4</v>
      </c>
      <c r="I4" s="86"/>
      <c r="J4" s="86"/>
      <c r="K4" s="86"/>
      <c r="L4" s="15"/>
      <c r="M4" s="12"/>
      <c r="N4" s="12"/>
      <c r="O4" s="12"/>
    </row>
    <row r="5" spans="1:15" ht="24.75" customHeight="1">
      <c r="A5" s="5" t="s">
        <v>127</v>
      </c>
      <c r="B5" s="10" t="s">
        <v>77</v>
      </c>
      <c r="C5" s="10" t="s">
        <v>78</v>
      </c>
      <c r="D5" s="10"/>
      <c r="E5" s="10" t="s">
        <v>77</v>
      </c>
      <c r="F5" s="10" t="s">
        <v>78</v>
      </c>
      <c r="G5" s="10"/>
      <c r="H5" s="10" t="s">
        <v>77</v>
      </c>
      <c r="I5" s="10" t="s">
        <v>78</v>
      </c>
      <c r="J5" s="49" t="s">
        <v>58</v>
      </c>
      <c r="K5" s="49" t="s">
        <v>107</v>
      </c>
      <c r="L5" s="57"/>
      <c r="M5" s="57"/>
      <c r="N5" s="56"/>
      <c r="O5" s="20"/>
    </row>
    <row r="6" spans="1:15" ht="18.75" customHeight="1">
      <c r="A6" s="111" t="s">
        <v>37</v>
      </c>
      <c r="B6" s="112">
        <f>B8+B9+B15+B20+B23+B26+B30+B33</f>
        <v>3699</v>
      </c>
      <c r="C6" s="112">
        <f>C8+C9+C15+C20+C23+C26+C30+C33</f>
        <v>2194</v>
      </c>
      <c r="D6" s="112"/>
      <c r="E6" s="112">
        <f>E8+E9+E15+E20+E23+E26+E30+E33</f>
        <v>36492</v>
      </c>
      <c r="F6" s="112">
        <f>F8+F9+F15+F20+F23+F26+F30+F33</f>
        <v>25081</v>
      </c>
      <c r="G6" s="112"/>
      <c r="H6" s="112">
        <f>H8+H9+H15+H20+H23+H26+H30+H33</f>
        <v>40191</v>
      </c>
      <c r="I6" s="112">
        <f>I8+I9+I15+I20+I23+I26+I30+I33</f>
        <v>27275</v>
      </c>
      <c r="J6" s="112">
        <f>J8+J9+J15+J20+J23+J26+J30+J33</f>
        <v>67466</v>
      </c>
      <c r="K6" s="112">
        <f>K8+K9+K15+K20+K23+K26+K30+K33</f>
        <v>100</v>
      </c>
      <c r="L6" s="57"/>
      <c r="M6" s="57"/>
      <c r="N6" s="56"/>
      <c r="O6" s="20"/>
    </row>
    <row r="7" spans="1:15" ht="18.75" customHeight="1">
      <c r="A7" s="61" t="s">
        <v>35</v>
      </c>
      <c r="B7" s="112">
        <v>940</v>
      </c>
      <c r="C7" s="112">
        <v>494</v>
      </c>
      <c r="D7" s="108"/>
      <c r="E7" s="112">
        <v>8359</v>
      </c>
      <c r="F7" s="112">
        <v>6299</v>
      </c>
      <c r="G7" s="112"/>
      <c r="H7" s="112">
        <f aca="true" t="shared" si="0" ref="H7:I10">B7+E7</f>
        <v>9299</v>
      </c>
      <c r="I7" s="112">
        <f t="shared" si="0"/>
        <v>6793</v>
      </c>
      <c r="J7" s="112">
        <f aca="true" t="shared" si="1" ref="J7:J35">H7+I7</f>
        <v>16092</v>
      </c>
      <c r="K7" s="112">
        <f aca="true" t="shared" si="2" ref="K7:K35">(J7/J$6)*100</f>
        <v>23.852014347967867</v>
      </c>
      <c r="L7" s="1"/>
      <c r="M7" s="4"/>
      <c r="N7" s="1"/>
      <c r="O7" s="1"/>
    </row>
    <row r="8" spans="1:15" ht="12.75">
      <c r="A8" s="1" t="s">
        <v>80</v>
      </c>
      <c r="B8" s="4">
        <v>940</v>
      </c>
      <c r="C8" s="4">
        <v>494</v>
      </c>
      <c r="D8" s="92"/>
      <c r="E8" s="4">
        <v>8359</v>
      </c>
      <c r="F8" s="4">
        <v>6299</v>
      </c>
      <c r="G8" s="4"/>
      <c r="H8" s="4">
        <f t="shared" si="0"/>
        <v>9299</v>
      </c>
      <c r="I8" s="4">
        <f t="shared" si="0"/>
        <v>6793</v>
      </c>
      <c r="J8" s="4">
        <f t="shared" si="1"/>
        <v>16092</v>
      </c>
      <c r="K8" s="19">
        <f t="shared" si="2"/>
        <v>23.852014347967867</v>
      </c>
      <c r="L8" s="1"/>
      <c r="M8" s="1"/>
      <c r="N8" s="1"/>
      <c r="O8" s="1"/>
    </row>
    <row r="9" spans="1:15" ht="18.75" customHeight="1">
      <c r="A9" s="14" t="s">
        <v>81</v>
      </c>
      <c r="B9" s="115">
        <f>B10+B11+B12+B13+B14</f>
        <v>776</v>
      </c>
      <c r="C9" s="115">
        <f>C10+C11+C12+C13+C14</f>
        <v>501</v>
      </c>
      <c r="D9" s="117"/>
      <c r="E9" s="115">
        <f>E10+E11+E12+E13+E14</f>
        <v>6324</v>
      </c>
      <c r="F9" s="115">
        <f>F10+F11+F12+F13+F14</f>
        <v>4277</v>
      </c>
      <c r="G9" s="115"/>
      <c r="H9" s="115">
        <f t="shared" si="0"/>
        <v>7100</v>
      </c>
      <c r="I9" s="115">
        <f t="shared" si="0"/>
        <v>4778</v>
      </c>
      <c r="J9" s="115">
        <f t="shared" si="1"/>
        <v>11878</v>
      </c>
      <c r="K9" s="112">
        <f t="shared" si="2"/>
        <v>17.60590519669167</v>
      </c>
      <c r="L9" s="1"/>
      <c r="M9" s="1"/>
      <c r="N9" s="1"/>
      <c r="O9" s="1"/>
    </row>
    <row r="10" spans="1:15" ht="12.75">
      <c r="A10" s="11" t="s">
        <v>82</v>
      </c>
      <c r="B10" s="4">
        <v>161</v>
      </c>
      <c r="C10" s="4">
        <v>95</v>
      </c>
      <c r="D10" s="92"/>
      <c r="E10" s="4">
        <v>1197</v>
      </c>
      <c r="F10" s="4">
        <v>892</v>
      </c>
      <c r="G10" s="4"/>
      <c r="H10" s="4">
        <f t="shared" si="0"/>
        <v>1358</v>
      </c>
      <c r="I10" s="4">
        <f t="shared" si="0"/>
        <v>987</v>
      </c>
      <c r="J10" s="4">
        <f t="shared" si="1"/>
        <v>2345</v>
      </c>
      <c r="K10" s="19">
        <f t="shared" si="2"/>
        <v>3.475824859929446</v>
      </c>
      <c r="L10" s="1"/>
      <c r="M10" s="1"/>
      <c r="N10" s="1"/>
      <c r="O10" s="1"/>
    </row>
    <row r="11" spans="1:15" ht="12.75">
      <c r="A11" s="3" t="s">
        <v>83</v>
      </c>
      <c r="B11" s="4">
        <v>178</v>
      </c>
      <c r="C11" s="4">
        <v>89</v>
      </c>
      <c r="D11" s="92"/>
      <c r="E11" s="4">
        <v>1081</v>
      </c>
      <c r="F11" s="4">
        <v>732</v>
      </c>
      <c r="G11" s="4"/>
      <c r="H11" s="4">
        <f aca="true" t="shared" si="3" ref="H11:I14">B11+E11</f>
        <v>1259</v>
      </c>
      <c r="I11" s="4">
        <f t="shared" si="3"/>
        <v>821</v>
      </c>
      <c r="J11" s="4">
        <f t="shared" si="1"/>
        <v>2080</v>
      </c>
      <c r="K11" s="19">
        <f t="shared" si="2"/>
        <v>3.08303441733614</v>
      </c>
      <c r="L11" s="1"/>
      <c r="M11" s="1"/>
      <c r="N11" s="1"/>
      <c r="O11" s="1"/>
    </row>
    <row r="12" spans="1:15" ht="12.75">
      <c r="A12" s="3" t="s">
        <v>84</v>
      </c>
      <c r="B12" s="4">
        <v>211</v>
      </c>
      <c r="C12" s="4">
        <v>129</v>
      </c>
      <c r="D12" s="92"/>
      <c r="E12" s="4">
        <v>1999</v>
      </c>
      <c r="F12" s="4">
        <v>1335</v>
      </c>
      <c r="G12" s="4"/>
      <c r="H12" s="4">
        <f t="shared" si="3"/>
        <v>2210</v>
      </c>
      <c r="I12" s="4">
        <f t="shared" si="3"/>
        <v>1464</v>
      </c>
      <c r="J12" s="4">
        <f t="shared" si="1"/>
        <v>3674</v>
      </c>
      <c r="K12" s="19">
        <f t="shared" si="2"/>
        <v>5.445705985237008</v>
      </c>
      <c r="L12" s="1"/>
      <c r="M12" s="4"/>
      <c r="N12" s="1"/>
      <c r="O12" s="1"/>
    </row>
    <row r="13" spans="1:15" ht="12.75">
      <c r="A13" s="3" t="s">
        <v>36</v>
      </c>
      <c r="B13" s="4">
        <v>121</v>
      </c>
      <c r="C13" s="4">
        <v>106</v>
      </c>
      <c r="D13" s="92"/>
      <c r="E13" s="4">
        <v>1094</v>
      </c>
      <c r="F13" s="4">
        <v>731</v>
      </c>
      <c r="G13" s="4"/>
      <c r="H13" s="4">
        <f t="shared" si="3"/>
        <v>1215</v>
      </c>
      <c r="I13" s="4">
        <f t="shared" si="3"/>
        <v>837</v>
      </c>
      <c r="J13" s="4">
        <f t="shared" si="1"/>
        <v>2052</v>
      </c>
      <c r="K13" s="19">
        <f t="shared" si="2"/>
        <v>3.0415320309489227</v>
      </c>
      <c r="L13" s="1"/>
      <c r="M13" s="1"/>
      <c r="N13" s="1"/>
      <c r="O13" s="1"/>
    </row>
    <row r="14" spans="1:15" ht="12.75">
      <c r="A14" s="3" t="s">
        <v>85</v>
      </c>
      <c r="B14" s="4">
        <v>105</v>
      </c>
      <c r="C14" s="4">
        <v>82</v>
      </c>
      <c r="D14" s="92"/>
      <c r="E14" s="4">
        <v>953</v>
      </c>
      <c r="F14" s="4">
        <v>587</v>
      </c>
      <c r="G14" s="4"/>
      <c r="H14" s="4">
        <f t="shared" si="3"/>
        <v>1058</v>
      </c>
      <c r="I14" s="4">
        <f t="shared" si="3"/>
        <v>669</v>
      </c>
      <c r="J14" s="4">
        <f t="shared" si="1"/>
        <v>1727</v>
      </c>
      <c r="K14" s="19">
        <f t="shared" si="2"/>
        <v>2.5598079032401504</v>
      </c>
      <c r="L14" s="1"/>
      <c r="M14" s="1"/>
      <c r="N14" s="1"/>
      <c r="O14" s="1"/>
    </row>
    <row r="15" spans="1:11" ht="18.75" customHeight="1">
      <c r="A15" s="89" t="s">
        <v>86</v>
      </c>
      <c r="B15" s="115">
        <f>B16+B17+B18+B19</f>
        <v>237</v>
      </c>
      <c r="C15" s="115">
        <f>C16+C17+C18+C19</f>
        <v>155</v>
      </c>
      <c r="D15" s="117"/>
      <c r="E15" s="115">
        <f>E16+E17+E18+E19</f>
        <v>2922</v>
      </c>
      <c r="F15" s="115">
        <f>F16+F17+F18+F19</f>
        <v>1840</v>
      </c>
      <c r="G15" s="115"/>
      <c r="H15" s="115">
        <f>B15+E15</f>
        <v>3159</v>
      </c>
      <c r="I15" s="115">
        <f>C15+F15</f>
        <v>1995</v>
      </c>
      <c r="J15" s="115">
        <f t="shared" si="1"/>
        <v>5154</v>
      </c>
      <c r="K15" s="112">
        <f t="shared" si="2"/>
        <v>7.639403551418492</v>
      </c>
    </row>
    <row r="16" spans="1:11" ht="12.75">
      <c r="A16" s="3" t="s">
        <v>87</v>
      </c>
      <c r="B16" s="4">
        <v>91</v>
      </c>
      <c r="C16" s="4">
        <v>50</v>
      </c>
      <c r="D16" s="92"/>
      <c r="E16" s="4">
        <v>1200</v>
      </c>
      <c r="F16" s="4">
        <v>734</v>
      </c>
      <c r="G16" s="4"/>
      <c r="H16" s="4">
        <f>B16+E16</f>
        <v>1291</v>
      </c>
      <c r="I16" s="4">
        <f>C16+F16</f>
        <v>784</v>
      </c>
      <c r="J16" s="4">
        <f t="shared" si="1"/>
        <v>2075</v>
      </c>
      <c r="K16" s="19">
        <f t="shared" si="2"/>
        <v>3.075623276909851</v>
      </c>
    </row>
    <row r="17" spans="1:11" ht="12.75">
      <c r="A17" s="3" t="s">
        <v>88</v>
      </c>
      <c r="B17" s="4">
        <v>41</v>
      </c>
      <c r="C17" s="4">
        <v>40</v>
      </c>
      <c r="D17" s="92"/>
      <c r="E17" s="4">
        <v>551</v>
      </c>
      <c r="F17" s="4">
        <v>350</v>
      </c>
      <c r="G17" s="4"/>
      <c r="H17" s="4">
        <f aca="true" t="shared" si="4" ref="H17:I19">B17+E17</f>
        <v>592</v>
      </c>
      <c r="I17" s="4">
        <f t="shared" si="4"/>
        <v>390</v>
      </c>
      <c r="J17" s="4">
        <f t="shared" si="1"/>
        <v>982</v>
      </c>
      <c r="K17" s="19">
        <f t="shared" si="2"/>
        <v>1.4555479797231197</v>
      </c>
    </row>
    <row r="18" spans="1:11" ht="12.75">
      <c r="A18" s="3" t="s">
        <v>89</v>
      </c>
      <c r="B18" s="4">
        <v>82</v>
      </c>
      <c r="C18" s="4">
        <v>53</v>
      </c>
      <c r="D18" s="92"/>
      <c r="E18" s="4">
        <v>872</v>
      </c>
      <c r="F18" s="4">
        <v>570</v>
      </c>
      <c r="G18" s="4"/>
      <c r="H18" s="4">
        <f t="shared" si="4"/>
        <v>954</v>
      </c>
      <c r="I18" s="4">
        <f t="shared" si="4"/>
        <v>623</v>
      </c>
      <c r="J18" s="4">
        <f t="shared" si="1"/>
        <v>1577</v>
      </c>
      <c r="K18" s="19">
        <f t="shared" si="2"/>
        <v>2.337473690451487</v>
      </c>
    </row>
    <row r="19" spans="1:11" ht="12.75">
      <c r="A19" s="3" t="s">
        <v>90</v>
      </c>
      <c r="B19" s="4">
        <v>23</v>
      </c>
      <c r="C19" s="4">
        <v>12</v>
      </c>
      <c r="D19" s="92"/>
      <c r="E19" s="4">
        <v>299</v>
      </c>
      <c r="F19" s="4">
        <v>186</v>
      </c>
      <c r="G19" s="4"/>
      <c r="H19" s="4">
        <f t="shared" si="4"/>
        <v>322</v>
      </c>
      <c r="I19" s="4">
        <f t="shared" si="4"/>
        <v>198</v>
      </c>
      <c r="J19" s="4">
        <f t="shared" si="1"/>
        <v>520</v>
      </c>
      <c r="K19" s="19">
        <f t="shared" si="2"/>
        <v>0.770758604334035</v>
      </c>
    </row>
    <row r="20" spans="1:11" ht="18.75" customHeight="1">
      <c r="A20" s="89" t="s">
        <v>91</v>
      </c>
      <c r="B20" s="115">
        <f>B21+B22</f>
        <v>750</v>
      </c>
      <c r="C20" s="115">
        <f>C21+C22</f>
        <v>445</v>
      </c>
      <c r="D20" s="117"/>
      <c r="E20" s="115">
        <f>E21+E22</f>
        <v>5746</v>
      </c>
      <c r="F20" s="115">
        <f>F21+F22</f>
        <v>4061</v>
      </c>
      <c r="G20" s="115"/>
      <c r="H20" s="115">
        <f aca="true" t="shared" si="5" ref="H20:H35">B20+E20</f>
        <v>6496</v>
      </c>
      <c r="I20" s="115">
        <f aca="true" t="shared" si="6" ref="I20:I35">C20+F20</f>
        <v>4506</v>
      </c>
      <c r="J20" s="115">
        <f t="shared" si="1"/>
        <v>11002</v>
      </c>
      <c r="K20" s="112">
        <f t="shared" si="2"/>
        <v>16.30747339400587</v>
      </c>
    </row>
    <row r="21" spans="1:11" ht="12.75">
      <c r="A21" s="3" t="s">
        <v>92</v>
      </c>
      <c r="B21" s="4">
        <v>45</v>
      </c>
      <c r="C21" s="4">
        <v>26</v>
      </c>
      <c r="D21" s="92"/>
      <c r="E21" s="4">
        <v>522</v>
      </c>
      <c r="F21" s="4">
        <v>417</v>
      </c>
      <c r="G21" s="4"/>
      <c r="H21" s="4">
        <f t="shared" si="5"/>
        <v>567</v>
      </c>
      <c r="I21" s="4">
        <f t="shared" si="6"/>
        <v>443</v>
      </c>
      <c r="J21" s="4">
        <f t="shared" si="1"/>
        <v>1010</v>
      </c>
      <c r="K21" s="19">
        <f t="shared" si="2"/>
        <v>1.4970503661103371</v>
      </c>
    </row>
    <row r="22" spans="1:11" ht="12.75">
      <c r="A22" s="21" t="s">
        <v>93</v>
      </c>
      <c r="B22" s="4">
        <v>705</v>
      </c>
      <c r="C22" s="4">
        <v>419</v>
      </c>
      <c r="D22" s="92"/>
      <c r="E22" s="4">
        <v>5224</v>
      </c>
      <c r="F22" s="4">
        <v>3644</v>
      </c>
      <c r="G22" s="4"/>
      <c r="H22" s="4">
        <f t="shared" si="5"/>
        <v>5929</v>
      </c>
      <c r="I22" s="4">
        <f t="shared" si="6"/>
        <v>4063</v>
      </c>
      <c r="J22" s="4">
        <f t="shared" si="1"/>
        <v>9992</v>
      </c>
      <c r="K22" s="19">
        <f t="shared" si="2"/>
        <v>14.810423027895533</v>
      </c>
    </row>
    <row r="23" spans="1:11" ht="12.75">
      <c r="A23" s="89" t="s">
        <v>94</v>
      </c>
      <c r="B23" s="4">
        <f>B24+B25</f>
        <v>593</v>
      </c>
      <c r="C23" s="4">
        <f>C24+C25</f>
        <v>328</v>
      </c>
      <c r="D23" s="92"/>
      <c r="E23" s="4">
        <f>E24+E25</f>
        <v>7099</v>
      </c>
      <c r="F23" s="4">
        <f>F24+F25</f>
        <v>4354</v>
      </c>
      <c r="G23" s="4"/>
      <c r="H23" s="4">
        <f t="shared" si="5"/>
        <v>7692</v>
      </c>
      <c r="I23" s="4">
        <f t="shared" si="6"/>
        <v>4682</v>
      </c>
      <c r="J23" s="4">
        <f t="shared" si="1"/>
        <v>12374</v>
      </c>
      <c r="K23" s="19">
        <f t="shared" si="2"/>
        <v>18.341090326979515</v>
      </c>
    </row>
    <row r="24" spans="1:11" ht="12.75">
      <c r="A24" s="3" t="s">
        <v>95</v>
      </c>
      <c r="B24" s="4">
        <v>61</v>
      </c>
      <c r="C24" s="4">
        <v>36</v>
      </c>
      <c r="D24" s="92"/>
      <c r="E24" s="4">
        <v>953</v>
      </c>
      <c r="F24" s="4">
        <v>579</v>
      </c>
      <c r="G24" s="4"/>
      <c r="H24" s="4">
        <f t="shared" si="5"/>
        <v>1014</v>
      </c>
      <c r="I24" s="4">
        <f t="shared" si="6"/>
        <v>615</v>
      </c>
      <c r="J24" s="4">
        <f t="shared" si="1"/>
        <v>1629</v>
      </c>
      <c r="K24" s="19">
        <f t="shared" si="2"/>
        <v>2.41454955088489</v>
      </c>
    </row>
    <row r="25" spans="1:11" ht="12.75">
      <c r="A25" s="3" t="s">
        <v>96</v>
      </c>
      <c r="B25" s="4">
        <v>532</v>
      </c>
      <c r="C25" s="4">
        <v>292</v>
      </c>
      <c r="D25" s="92"/>
      <c r="E25" s="4">
        <v>6146</v>
      </c>
      <c r="F25" s="4">
        <v>3775</v>
      </c>
      <c r="G25" s="4"/>
      <c r="H25" s="4">
        <f t="shared" si="5"/>
        <v>6678</v>
      </c>
      <c r="I25" s="4">
        <f t="shared" si="6"/>
        <v>4067</v>
      </c>
      <c r="J25" s="4">
        <f t="shared" si="1"/>
        <v>10745</v>
      </c>
      <c r="K25" s="19">
        <f t="shared" si="2"/>
        <v>15.926540776094624</v>
      </c>
    </row>
    <row r="26" spans="1:11" ht="18.75" customHeight="1">
      <c r="A26" s="89" t="s">
        <v>97</v>
      </c>
      <c r="B26" s="115">
        <f>B27+B28+B29</f>
        <v>248</v>
      </c>
      <c r="C26" s="115">
        <f>C27+C28+C29</f>
        <v>148</v>
      </c>
      <c r="D26" s="117"/>
      <c r="E26" s="115">
        <f>E27+E28+E29</f>
        <v>3009</v>
      </c>
      <c r="F26" s="115">
        <f>F27+F28+F29</f>
        <v>1967</v>
      </c>
      <c r="G26" s="115"/>
      <c r="H26" s="115">
        <f t="shared" si="5"/>
        <v>3257</v>
      </c>
      <c r="I26" s="115">
        <f t="shared" si="6"/>
        <v>2115</v>
      </c>
      <c r="J26" s="115">
        <f t="shared" si="1"/>
        <v>5372</v>
      </c>
      <c r="K26" s="112">
        <f t="shared" si="2"/>
        <v>7.962529274004685</v>
      </c>
    </row>
    <row r="27" spans="1:11" ht="12.75">
      <c r="A27" s="3" t="s">
        <v>98</v>
      </c>
      <c r="B27" s="4">
        <v>40</v>
      </c>
      <c r="C27" s="4">
        <v>30</v>
      </c>
      <c r="D27" s="92"/>
      <c r="E27" s="4">
        <v>916</v>
      </c>
      <c r="F27" s="4">
        <v>630</v>
      </c>
      <c r="G27" s="4"/>
      <c r="H27" s="4">
        <f t="shared" si="5"/>
        <v>956</v>
      </c>
      <c r="I27" s="4">
        <f t="shared" si="6"/>
        <v>660</v>
      </c>
      <c r="J27" s="4">
        <f t="shared" si="1"/>
        <v>1616</v>
      </c>
      <c r="K27" s="19">
        <f t="shared" si="2"/>
        <v>2.3952805857765394</v>
      </c>
    </row>
    <row r="28" spans="1:11" ht="12.75">
      <c r="A28" s="1" t="s">
        <v>99</v>
      </c>
      <c r="B28" s="4">
        <v>129</v>
      </c>
      <c r="C28" s="4">
        <v>65</v>
      </c>
      <c r="D28" s="92"/>
      <c r="E28" s="4">
        <v>1045</v>
      </c>
      <c r="F28" s="4">
        <v>667</v>
      </c>
      <c r="G28" s="4"/>
      <c r="H28" s="4">
        <f t="shared" si="5"/>
        <v>1174</v>
      </c>
      <c r="I28" s="4">
        <f t="shared" si="6"/>
        <v>732</v>
      </c>
      <c r="J28" s="4">
        <f t="shared" si="1"/>
        <v>1906</v>
      </c>
      <c r="K28" s="19">
        <f t="shared" si="2"/>
        <v>2.8251267305012897</v>
      </c>
    </row>
    <row r="29" spans="1:11" ht="12.75">
      <c r="A29" s="1" t="s">
        <v>100</v>
      </c>
      <c r="B29" s="4">
        <v>79</v>
      </c>
      <c r="C29" s="4">
        <v>53</v>
      </c>
      <c r="D29" s="92"/>
      <c r="E29" s="4">
        <v>1048</v>
      </c>
      <c r="F29" s="4">
        <v>670</v>
      </c>
      <c r="G29" s="4"/>
      <c r="H29" s="4">
        <f t="shared" si="5"/>
        <v>1127</v>
      </c>
      <c r="I29" s="4">
        <f t="shared" si="6"/>
        <v>723</v>
      </c>
      <c r="J29" s="4">
        <f t="shared" si="1"/>
        <v>1850</v>
      </c>
      <c r="K29" s="19">
        <f t="shared" si="2"/>
        <v>2.7421219577268547</v>
      </c>
    </row>
    <row r="30" spans="1:11" ht="18.75" customHeight="1">
      <c r="A30" s="14" t="s">
        <v>101</v>
      </c>
      <c r="B30" s="115">
        <f>B31+B32</f>
        <v>66</v>
      </c>
      <c r="C30" s="115">
        <f>C31+C32</f>
        <v>60</v>
      </c>
      <c r="D30" s="117"/>
      <c r="E30" s="115">
        <f>E31+E32</f>
        <v>1204</v>
      </c>
      <c r="F30" s="115">
        <f>F31+F32</f>
        <v>869</v>
      </c>
      <c r="G30" s="115"/>
      <c r="H30" s="115">
        <f t="shared" si="5"/>
        <v>1270</v>
      </c>
      <c r="I30" s="115">
        <f t="shared" si="6"/>
        <v>929</v>
      </c>
      <c r="J30" s="115">
        <f t="shared" si="1"/>
        <v>2199</v>
      </c>
      <c r="K30" s="112">
        <f t="shared" si="2"/>
        <v>3.259419559481813</v>
      </c>
    </row>
    <row r="31" spans="1:11" ht="12.75">
      <c r="A31" s="1" t="s">
        <v>102</v>
      </c>
      <c r="B31" s="4">
        <v>57</v>
      </c>
      <c r="C31" s="4">
        <v>45</v>
      </c>
      <c r="D31" s="92"/>
      <c r="E31" s="4">
        <v>759</v>
      </c>
      <c r="F31" s="4">
        <v>615</v>
      </c>
      <c r="G31" s="4"/>
      <c r="H31" s="4">
        <f t="shared" si="5"/>
        <v>816</v>
      </c>
      <c r="I31" s="4">
        <f t="shared" si="6"/>
        <v>660</v>
      </c>
      <c r="J31" s="4">
        <f t="shared" si="1"/>
        <v>1476</v>
      </c>
      <c r="K31" s="19">
        <f t="shared" si="2"/>
        <v>2.187768653840453</v>
      </c>
    </row>
    <row r="32" spans="1:11" ht="12.75">
      <c r="A32" s="1" t="s">
        <v>103</v>
      </c>
      <c r="B32" s="4">
        <v>9</v>
      </c>
      <c r="C32" s="4">
        <v>15</v>
      </c>
      <c r="D32" s="92"/>
      <c r="E32" s="4">
        <v>445</v>
      </c>
      <c r="F32" s="4">
        <v>254</v>
      </c>
      <c r="G32" s="4"/>
      <c r="H32" s="4">
        <f t="shared" si="5"/>
        <v>454</v>
      </c>
      <c r="I32" s="4">
        <f t="shared" si="6"/>
        <v>269</v>
      </c>
      <c r="J32" s="4">
        <f t="shared" si="1"/>
        <v>723</v>
      </c>
      <c r="K32" s="19">
        <f t="shared" si="2"/>
        <v>1.0716509056413601</v>
      </c>
    </row>
    <row r="33" spans="1:11" ht="18.75" customHeight="1">
      <c r="A33" s="14" t="s">
        <v>104</v>
      </c>
      <c r="B33" s="115">
        <f>B34+B35</f>
        <v>89</v>
      </c>
      <c r="C33" s="115">
        <f>C34+C35</f>
        <v>63</v>
      </c>
      <c r="D33" s="117"/>
      <c r="E33" s="115">
        <f>E34+E35</f>
        <v>1829</v>
      </c>
      <c r="F33" s="115">
        <f>F34+F35</f>
        <v>1414</v>
      </c>
      <c r="G33" s="115"/>
      <c r="H33" s="115">
        <f t="shared" si="5"/>
        <v>1918</v>
      </c>
      <c r="I33" s="115">
        <f t="shared" si="6"/>
        <v>1477</v>
      </c>
      <c r="J33" s="115">
        <f t="shared" si="1"/>
        <v>3395</v>
      </c>
      <c r="K33" s="112">
        <f t="shared" si="2"/>
        <v>5.032164349450094</v>
      </c>
    </row>
    <row r="34" spans="1:11" ht="12.75">
      <c r="A34" s="1" t="s">
        <v>105</v>
      </c>
      <c r="B34" s="4">
        <v>54</v>
      </c>
      <c r="C34" s="4">
        <v>42</v>
      </c>
      <c r="D34" s="92"/>
      <c r="E34" s="4">
        <v>1011</v>
      </c>
      <c r="F34" s="4">
        <v>836</v>
      </c>
      <c r="G34" s="4"/>
      <c r="H34" s="4">
        <f t="shared" si="5"/>
        <v>1065</v>
      </c>
      <c r="I34" s="4">
        <f t="shared" si="6"/>
        <v>878</v>
      </c>
      <c r="J34" s="4">
        <f t="shared" si="1"/>
        <v>1943</v>
      </c>
      <c r="K34" s="19">
        <f t="shared" si="2"/>
        <v>2.8799691696558263</v>
      </c>
    </row>
    <row r="35" spans="1:11" ht="12.75">
      <c r="A35" s="2" t="s">
        <v>106</v>
      </c>
      <c r="B35" s="63">
        <v>35</v>
      </c>
      <c r="C35" s="63">
        <v>21</v>
      </c>
      <c r="D35" s="95"/>
      <c r="E35" s="63">
        <v>818</v>
      </c>
      <c r="F35" s="63">
        <v>578</v>
      </c>
      <c r="G35" s="63"/>
      <c r="H35" s="63">
        <f t="shared" si="5"/>
        <v>853</v>
      </c>
      <c r="I35" s="63">
        <f t="shared" si="6"/>
        <v>599</v>
      </c>
      <c r="J35" s="63">
        <f t="shared" si="1"/>
        <v>1452</v>
      </c>
      <c r="K35" s="63">
        <f t="shared" si="2"/>
        <v>2.152195179794267</v>
      </c>
    </row>
    <row r="36" spans="1:15" ht="24" customHeight="1">
      <c r="A36" s="96"/>
      <c r="B36" s="19"/>
      <c r="C36" s="19"/>
      <c r="D36" s="19"/>
      <c r="E36" s="19"/>
      <c r="F36" s="19"/>
      <c r="G36" s="19"/>
      <c r="H36" s="19"/>
      <c r="I36" s="19"/>
      <c r="J36" s="19"/>
      <c r="K36" s="6"/>
      <c r="L36" s="6"/>
      <c r="M36" s="6"/>
      <c r="N36" s="6"/>
      <c r="O36" s="6"/>
    </row>
    <row r="37" spans="1:15" ht="39" customHeight="1">
      <c r="A37" s="167" t="s">
        <v>208</v>
      </c>
      <c r="B37" s="168"/>
      <c r="C37" s="168"/>
      <c r="D37" s="168"/>
      <c r="E37" s="168"/>
      <c r="F37" s="168"/>
      <c r="G37" s="168"/>
      <c r="H37" s="168"/>
      <c r="I37" s="168"/>
      <c r="J37" s="168"/>
      <c r="K37" s="172"/>
      <c r="L37" s="172"/>
      <c r="M37" s="58"/>
      <c r="N37" s="58"/>
      <c r="O37" s="58"/>
    </row>
  </sheetData>
  <sheetProtection/>
  <mergeCells count="5">
    <mergeCell ref="A37:L37"/>
    <mergeCell ref="A1:L1"/>
    <mergeCell ref="B4:C4"/>
    <mergeCell ref="E4:F4"/>
    <mergeCell ref="A3:K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18.xml><?xml version="1.0" encoding="utf-8"?>
<worksheet xmlns="http://schemas.openxmlformats.org/spreadsheetml/2006/main" xmlns:r="http://schemas.openxmlformats.org/officeDocument/2006/relationships">
  <dimension ref="A1:K37"/>
  <sheetViews>
    <sheetView zoomScalePageLayoutView="0" workbookViewId="0" topLeftCell="A1">
      <selection activeCell="D34" sqref="D34:D35"/>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s>
  <sheetData>
    <row r="1" spans="1:11" ht="27" customHeight="1">
      <c r="A1" s="186" t="s">
        <v>211</v>
      </c>
      <c r="B1" s="168"/>
      <c r="C1" s="168"/>
      <c r="D1" s="168"/>
      <c r="E1" s="168"/>
      <c r="F1" s="168"/>
      <c r="G1" s="168"/>
      <c r="H1" s="168"/>
      <c r="I1" s="168"/>
      <c r="J1" s="168"/>
      <c r="K1" s="174"/>
    </row>
    <row r="2" spans="1:10" ht="7.5" customHeight="1">
      <c r="A2" s="23"/>
      <c r="B2" s="26"/>
      <c r="C2" s="26"/>
      <c r="D2" s="26"/>
      <c r="E2" s="26"/>
      <c r="F2" s="26"/>
      <c r="G2" s="26"/>
      <c r="H2" s="26"/>
      <c r="I2" s="26"/>
      <c r="J2" s="26"/>
    </row>
    <row r="3" spans="1:11" ht="24.75" customHeight="1">
      <c r="A3" s="175" t="s">
        <v>158</v>
      </c>
      <c r="B3" s="175"/>
      <c r="C3" s="175"/>
      <c r="D3" s="175"/>
      <c r="E3" s="175"/>
      <c r="F3" s="175"/>
      <c r="G3" s="175"/>
      <c r="H3" s="175"/>
      <c r="I3" s="175"/>
      <c r="J3" s="175"/>
      <c r="K3" s="187"/>
    </row>
    <row r="4" spans="1:11" ht="18.75" customHeight="1">
      <c r="A4" s="15" t="s">
        <v>109</v>
      </c>
      <c r="B4" s="166" t="s">
        <v>9</v>
      </c>
      <c r="C4" s="166"/>
      <c r="D4" s="12"/>
      <c r="E4" s="166" t="s">
        <v>75</v>
      </c>
      <c r="F4" s="166"/>
      <c r="G4" s="12"/>
      <c r="H4" s="166" t="s">
        <v>4</v>
      </c>
      <c r="I4" s="166"/>
      <c r="J4" s="166"/>
      <c r="K4" s="79"/>
    </row>
    <row r="5" spans="1:11" ht="29.25" customHeight="1">
      <c r="A5" s="5" t="s">
        <v>127</v>
      </c>
      <c r="B5" s="10" t="s">
        <v>77</v>
      </c>
      <c r="C5" s="10" t="s">
        <v>78</v>
      </c>
      <c r="D5" s="10"/>
      <c r="E5" s="10" t="s">
        <v>77</v>
      </c>
      <c r="F5" s="10" t="s">
        <v>78</v>
      </c>
      <c r="G5" s="10"/>
      <c r="H5" s="10" t="s">
        <v>77</v>
      </c>
      <c r="I5" s="10" t="s">
        <v>78</v>
      </c>
      <c r="J5" s="49" t="s">
        <v>58</v>
      </c>
      <c r="K5" s="49" t="s">
        <v>107</v>
      </c>
    </row>
    <row r="6" spans="1:11" ht="29.25" customHeight="1">
      <c r="A6" s="111" t="s">
        <v>37</v>
      </c>
      <c r="B6" s="112">
        <f>B8+B9+B15+B20+B23+B26+B30+B33</f>
        <v>8419</v>
      </c>
      <c r="C6" s="112">
        <f>C8+C9+C15+C20+C23+C26+C30+C33</f>
        <v>3189</v>
      </c>
      <c r="D6" s="112"/>
      <c r="E6" s="112">
        <f>E8+E9+E15+E20+E23+E26+E30+E33</f>
        <v>17213</v>
      </c>
      <c r="F6" s="112">
        <f>F8+F9+F15+F20+F23+F26+F30+F33</f>
        <v>5931</v>
      </c>
      <c r="G6" s="112"/>
      <c r="H6" s="112">
        <f>H8+H9+H15+H20+H23+H26+H30+H33</f>
        <v>25632</v>
      </c>
      <c r="I6" s="112">
        <f>I8+I9+I15+I20+I23+I26+I30+I33</f>
        <v>9120</v>
      </c>
      <c r="J6" s="112">
        <f>J8+J9+J15+J20+J23+J26+J30+J33</f>
        <v>34752</v>
      </c>
      <c r="K6" s="112">
        <f>K8+K9+K15+K20+K23+K26+K30+K33</f>
        <v>100</v>
      </c>
    </row>
    <row r="7" spans="1:11" ht="18.75" customHeight="1">
      <c r="A7" s="61" t="s">
        <v>35</v>
      </c>
      <c r="B7" s="112">
        <v>2443</v>
      </c>
      <c r="C7" s="112">
        <v>819</v>
      </c>
      <c r="D7" s="108"/>
      <c r="E7" s="112">
        <v>4504</v>
      </c>
      <c r="F7" s="112">
        <v>1625</v>
      </c>
      <c r="G7" s="112"/>
      <c r="H7" s="112">
        <f aca="true" t="shared" si="0" ref="H7:I10">B7+E7</f>
        <v>6947</v>
      </c>
      <c r="I7" s="112">
        <f t="shared" si="0"/>
        <v>2444</v>
      </c>
      <c r="J7" s="112">
        <f aca="true" t="shared" si="1" ref="J7:J35">H7+I7</f>
        <v>9391</v>
      </c>
      <c r="K7" s="112">
        <f aca="true" t="shared" si="2" ref="K7:K35">(J7/J$6)*100</f>
        <v>27.022905156537753</v>
      </c>
    </row>
    <row r="8" spans="1:11" ht="12.75">
      <c r="A8" s="1" t="s">
        <v>80</v>
      </c>
      <c r="B8" s="4">
        <v>2443</v>
      </c>
      <c r="C8" s="4">
        <v>819</v>
      </c>
      <c r="D8" s="92"/>
      <c r="E8" s="4">
        <v>4504</v>
      </c>
      <c r="F8" s="4">
        <v>1625</v>
      </c>
      <c r="G8" s="4"/>
      <c r="H8" s="4">
        <f t="shared" si="0"/>
        <v>6947</v>
      </c>
      <c r="I8" s="4">
        <f t="shared" si="0"/>
        <v>2444</v>
      </c>
      <c r="J8" s="4">
        <f t="shared" si="1"/>
        <v>9391</v>
      </c>
      <c r="K8" s="19">
        <f t="shared" si="2"/>
        <v>27.022905156537753</v>
      </c>
    </row>
    <row r="9" spans="1:11" ht="18.75" customHeight="1">
      <c r="A9" s="14" t="s">
        <v>81</v>
      </c>
      <c r="B9" s="115">
        <f>B10+B11+B12+B13+B14</f>
        <v>1391</v>
      </c>
      <c r="C9" s="115">
        <f>C10+C11+C12+C13+C14</f>
        <v>640</v>
      </c>
      <c r="D9" s="117"/>
      <c r="E9" s="115">
        <f>E10+E11+E12+E13+E14</f>
        <v>2917</v>
      </c>
      <c r="F9" s="115">
        <f>F10+F11+F12+F13+F14</f>
        <v>1078</v>
      </c>
      <c r="G9" s="115"/>
      <c r="H9" s="115">
        <f t="shared" si="0"/>
        <v>4308</v>
      </c>
      <c r="I9" s="115">
        <f t="shared" si="0"/>
        <v>1718</v>
      </c>
      <c r="J9" s="115">
        <f t="shared" si="1"/>
        <v>6026</v>
      </c>
      <c r="K9" s="112">
        <f t="shared" si="2"/>
        <v>17.34000920810313</v>
      </c>
    </row>
    <row r="10" spans="1:11" ht="12.75">
      <c r="A10" s="11" t="s">
        <v>82</v>
      </c>
      <c r="B10" s="4">
        <v>260</v>
      </c>
      <c r="C10" s="4">
        <v>123</v>
      </c>
      <c r="D10" s="92"/>
      <c r="E10" s="4">
        <v>530</v>
      </c>
      <c r="F10" s="4">
        <v>178</v>
      </c>
      <c r="G10" s="4"/>
      <c r="H10" s="4">
        <f t="shared" si="0"/>
        <v>790</v>
      </c>
      <c r="I10" s="4">
        <f t="shared" si="0"/>
        <v>301</v>
      </c>
      <c r="J10" s="4">
        <f t="shared" si="1"/>
        <v>1091</v>
      </c>
      <c r="K10" s="19">
        <f t="shared" si="2"/>
        <v>3.139387661141805</v>
      </c>
    </row>
    <row r="11" spans="1:11" ht="12.75">
      <c r="A11" s="3" t="s">
        <v>83</v>
      </c>
      <c r="B11" s="4">
        <v>320</v>
      </c>
      <c r="C11" s="4">
        <v>129</v>
      </c>
      <c r="D11" s="92"/>
      <c r="E11" s="4">
        <v>579</v>
      </c>
      <c r="F11" s="4">
        <v>246</v>
      </c>
      <c r="G11" s="4"/>
      <c r="H11" s="4">
        <f aca="true" t="shared" si="3" ref="H11:I14">B11+E11</f>
        <v>899</v>
      </c>
      <c r="I11" s="4">
        <f t="shared" si="3"/>
        <v>375</v>
      </c>
      <c r="J11" s="4">
        <f t="shared" si="1"/>
        <v>1274</v>
      </c>
      <c r="K11" s="19">
        <f t="shared" si="2"/>
        <v>3.66597605893186</v>
      </c>
    </row>
    <row r="12" spans="1:11" ht="12.75">
      <c r="A12" s="3" t="s">
        <v>84</v>
      </c>
      <c r="B12" s="4">
        <v>424</v>
      </c>
      <c r="C12" s="4">
        <v>191</v>
      </c>
      <c r="D12" s="92"/>
      <c r="E12" s="4">
        <v>845</v>
      </c>
      <c r="F12" s="4">
        <v>334</v>
      </c>
      <c r="G12" s="4"/>
      <c r="H12" s="4">
        <f t="shared" si="3"/>
        <v>1269</v>
      </c>
      <c r="I12" s="4">
        <f t="shared" si="3"/>
        <v>525</v>
      </c>
      <c r="J12" s="4">
        <f t="shared" si="1"/>
        <v>1794</v>
      </c>
      <c r="K12" s="19">
        <f t="shared" si="2"/>
        <v>5.162292817679558</v>
      </c>
    </row>
    <row r="13" spans="1:11" ht="12.75">
      <c r="A13" s="3" t="s">
        <v>36</v>
      </c>
      <c r="B13" s="4">
        <v>244</v>
      </c>
      <c r="C13" s="4">
        <v>127</v>
      </c>
      <c r="D13" s="92"/>
      <c r="E13" s="4">
        <v>496</v>
      </c>
      <c r="F13" s="4">
        <v>175</v>
      </c>
      <c r="G13" s="4"/>
      <c r="H13" s="4">
        <f t="shared" si="3"/>
        <v>740</v>
      </c>
      <c r="I13" s="4">
        <f t="shared" si="3"/>
        <v>302</v>
      </c>
      <c r="J13" s="4">
        <f t="shared" si="1"/>
        <v>1042</v>
      </c>
      <c r="K13" s="19">
        <f t="shared" si="2"/>
        <v>2.998388581952118</v>
      </c>
    </row>
    <row r="14" spans="1:11" ht="12.75">
      <c r="A14" s="3" t="s">
        <v>85</v>
      </c>
      <c r="B14" s="4">
        <v>143</v>
      </c>
      <c r="C14" s="4">
        <v>70</v>
      </c>
      <c r="D14" s="92"/>
      <c r="E14" s="4">
        <v>467</v>
      </c>
      <c r="F14" s="4">
        <v>145</v>
      </c>
      <c r="G14" s="4"/>
      <c r="H14" s="4">
        <f t="shared" si="3"/>
        <v>610</v>
      </c>
      <c r="I14" s="4">
        <f t="shared" si="3"/>
        <v>215</v>
      </c>
      <c r="J14" s="4">
        <f t="shared" si="1"/>
        <v>825</v>
      </c>
      <c r="K14" s="19">
        <f t="shared" si="2"/>
        <v>2.37396408839779</v>
      </c>
    </row>
    <row r="15" spans="1:11" ht="18.75" customHeight="1">
      <c r="A15" s="89" t="s">
        <v>86</v>
      </c>
      <c r="B15" s="115">
        <f>B16+B17+B18+B19</f>
        <v>581</v>
      </c>
      <c r="C15" s="115">
        <f>C16+C17+C18+C19</f>
        <v>184</v>
      </c>
      <c r="D15" s="117"/>
      <c r="E15" s="115">
        <f>E16+E17+E18+E19</f>
        <v>1435</v>
      </c>
      <c r="F15" s="115">
        <f>F16+F17+F18+F19</f>
        <v>434</v>
      </c>
      <c r="G15" s="115"/>
      <c r="H15" s="115">
        <f>B15+E15</f>
        <v>2016</v>
      </c>
      <c r="I15" s="115">
        <f>C15+F15</f>
        <v>618</v>
      </c>
      <c r="J15" s="115">
        <f t="shared" si="1"/>
        <v>2634</v>
      </c>
      <c r="K15" s="112">
        <f t="shared" si="2"/>
        <v>7.579419889502763</v>
      </c>
    </row>
    <row r="16" spans="1:11" ht="12.75">
      <c r="A16" s="3" t="s">
        <v>87</v>
      </c>
      <c r="B16" s="4">
        <v>316</v>
      </c>
      <c r="C16" s="4">
        <v>83</v>
      </c>
      <c r="D16" s="92"/>
      <c r="E16" s="4">
        <v>648</v>
      </c>
      <c r="F16" s="4">
        <v>190</v>
      </c>
      <c r="G16" s="4"/>
      <c r="H16" s="4">
        <f>B16+E16</f>
        <v>964</v>
      </c>
      <c r="I16" s="4">
        <f>C16+F16</f>
        <v>273</v>
      </c>
      <c r="J16" s="4">
        <f t="shared" si="1"/>
        <v>1237</v>
      </c>
      <c r="K16" s="19">
        <f t="shared" si="2"/>
        <v>3.5595073664825048</v>
      </c>
    </row>
    <row r="17" spans="1:11" ht="12.75">
      <c r="A17" s="3" t="s">
        <v>88</v>
      </c>
      <c r="B17" s="4">
        <v>111</v>
      </c>
      <c r="C17" s="4">
        <v>34</v>
      </c>
      <c r="D17" s="92"/>
      <c r="E17" s="4">
        <v>265</v>
      </c>
      <c r="F17" s="4">
        <v>82</v>
      </c>
      <c r="G17" s="4"/>
      <c r="H17" s="4">
        <f aca="true" t="shared" si="4" ref="H17:I19">B17+E17</f>
        <v>376</v>
      </c>
      <c r="I17" s="4">
        <f t="shared" si="4"/>
        <v>116</v>
      </c>
      <c r="J17" s="4">
        <f t="shared" si="1"/>
        <v>492</v>
      </c>
      <c r="K17" s="19">
        <f t="shared" si="2"/>
        <v>1.4157458563535912</v>
      </c>
    </row>
    <row r="18" spans="1:11" ht="12.75">
      <c r="A18" s="3" t="s">
        <v>89</v>
      </c>
      <c r="B18" s="4">
        <v>119</v>
      </c>
      <c r="C18" s="4">
        <v>49</v>
      </c>
      <c r="D18" s="92"/>
      <c r="E18" s="4">
        <v>333</v>
      </c>
      <c r="F18" s="4">
        <v>106</v>
      </c>
      <c r="G18" s="4"/>
      <c r="H18" s="4">
        <f t="shared" si="4"/>
        <v>452</v>
      </c>
      <c r="I18" s="4">
        <f t="shared" si="4"/>
        <v>155</v>
      </c>
      <c r="J18" s="4">
        <f t="shared" si="1"/>
        <v>607</v>
      </c>
      <c r="K18" s="19">
        <f t="shared" si="2"/>
        <v>1.7466620626151013</v>
      </c>
    </row>
    <row r="19" spans="1:11" ht="12.75">
      <c r="A19" s="3" t="s">
        <v>90</v>
      </c>
      <c r="B19" s="4">
        <v>35</v>
      </c>
      <c r="C19" s="4">
        <v>18</v>
      </c>
      <c r="D19" s="92"/>
      <c r="E19" s="4">
        <v>189</v>
      </c>
      <c r="F19" s="4">
        <v>56</v>
      </c>
      <c r="G19" s="4"/>
      <c r="H19" s="4">
        <f t="shared" si="4"/>
        <v>224</v>
      </c>
      <c r="I19" s="4">
        <f t="shared" si="4"/>
        <v>74</v>
      </c>
      <c r="J19" s="4">
        <f t="shared" si="1"/>
        <v>298</v>
      </c>
      <c r="K19" s="19">
        <f t="shared" si="2"/>
        <v>0.8575046040515655</v>
      </c>
    </row>
    <row r="20" spans="1:11" ht="18.75" customHeight="1">
      <c r="A20" s="89" t="s">
        <v>91</v>
      </c>
      <c r="B20" s="115">
        <f>B21+B22</f>
        <v>2009</v>
      </c>
      <c r="C20" s="115">
        <f>C21+C22</f>
        <v>899</v>
      </c>
      <c r="D20" s="117"/>
      <c r="E20" s="115">
        <f>E21+E22</f>
        <v>3045</v>
      </c>
      <c r="F20" s="115">
        <f>F21+F22</f>
        <v>1172</v>
      </c>
      <c r="G20" s="115"/>
      <c r="H20" s="115">
        <f aca="true" t="shared" si="5" ref="H20:H35">B20+E20</f>
        <v>5054</v>
      </c>
      <c r="I20" s="115">
        <f aca="true" t="shared" si="6" ref="I20:I35">C20+F20</f>
        <v>2071</v>
      </c>
      <c r="J20" s="115">
        <f t="shared" si="1"/>
        <v>7125</v>
      </c>
      <c r="K20" s="112">
        <f t="shared" si="2"/>
        <v>20.502417127071823</v>
      </c>
    </row>
    <row r="21" spans="1:11" ht="12.75">
      <c r="A21" s="3" t="s">
        <v>92</v>
      </c>
      <c r="B21" s="4">
        <v>84</v>
      </c>
      <c r="C21" s="4">
        <v>36</v>
      </c>
      <c r="D21" s="92"/>
      <c r="E21" s="4">
        <v>183</v>
      </c>
      <c r="F21" s="4">
        <v>68</v>
      </c>
      <c r="G21" s="4"/>
      <c r="H21" s="4">
        <f t="shared" si="5"/>
        <v>267</v>
      </c>
      <c r="I21" s="4">
        <f t="shared" si="6"/>
        <v>104</v>
      </c>
      <c r="J21" s="4">
        <f t="shared" si="1"/>
        <v>371</v>
      </c>
      <c r="K21" s="19">
        <f t="shared" si="2"/>
        <v>1.0675644567219154</v>
      </c>
    </row>
    <row r="22" spans="1:11" ht="12.75">
      <c r="A22" s="21" t="s">
        <v>93</v>
      </c>
      <c r="B22" s="4">
        <v>1925</v>
      </c>
      <c r="C22" s="4">
        <v>863</v>
      </c>
      <c r="D22" s="92"/>
      <c r="E22" s="4">
        <v>2862</v>
      </c>
      <c r="F22" s="4">
        <v>1104</v>
      </c>
      <c r="G22" s="4"/>
      <c r="H22" s="4">
        <f t="shared" si="5"/>
        <v>4787</v>
      </c>
      <c r="I22" s="4">
        <f t="shared" si="6"/>
        <v>1967</v>
      </c>
      <c r="J22" s="4">
        <f t="shared" si="1"/>
        <v>6754</v>
      </c>
      <c r="K22" s="19">
        <f t="shared" si="2"/>
        <v>19.43485267034991</v>
      </c>
    </row>
    <row r="23" spans="1:11" ht="18.75" customHeight="1">
      <c r="A23" s="89" t="s">
        <v>94</v>
      </c>
      <c r="B23" s="115">
        <f>B24+B25</f>
        <v>1374</v>
      </c>
      <c r="C23" s="115">
        <f>C24+C25</f>
        <v>411</v>
      </c>
      <c r="D23" s="117"/>
      <c r="E23" s="115">
        <f>E24+E25</f>
        <v>3261</v>
      </c>
      <c r="F23" s="115">
        <f>F24+F25</f>
        <v>931</v>
      </c>
      <c r="G23" s="115"/>
      <c r="H23" s="115">
        <f t="shared" si="5"/>
        <v>4635</v>
      </c>
      <c r="I23" s="115">
        <f t="shared" si="6"/>
        <v>1342</v>
      </c>
      <c r="J23" s="115">
        <f t="shared" si="1"/>
        <v>5977</v>
      </c>
      <c r="K23" s="112">
        <f t="shared" si="2"/>
        <v>17.199010128913443</v>
      </c>
    </row>
    <row r="24" spans="1:11" ht="12.75">
      <c r="A24" s="3" t="s">
        <v>95</v>
      </c>
      <c r="B24" s="4">
        <v>140</v>
      </c>
      <c r="C24" s="4">
        <v>60</v>
      </c>
      <c r="D24" s="92"/>
      <c r="E24" s="4">
        <v>430</v>
      </c>
      <c r="F24" s="4">
        <v>128</v>
      </c>
      <c r="G24" s="4"/>
      <c r="H24" s="4">
        <f t="shared" si="5"/>
        <v>570</v>
      </c>
      <c r="I24" s="4">
        <f t="shared" si="6"/>
        <v>188</v>
      </c>
      <c r="J24" s="4">
        <f t="shared" si="1"/>
        <v>758</v>
      </c>
      <c r="K24" s="19">
        <f t="shared" si="2"/>
        <v>2.181169429097606</v>
      </c>
    </row>
    <row r="25" spans="1:11" ht="12.75">
      <c r="A25" s="3" t="s">
        <v>96</v>
      </c>
      <c r="B25" s="4">
        <v>1234</v>
      </c>
      <c r="C25" s="4">
        <v>351</v>
      </c>
      <c r="D25" s="92"/>
      <c r="E25" s="4">
        <v>2831</v>
      </c>
      <c r="F25" s="4">
        <v>803</v>
      </c>
      <c r="G25" s="4"/>
      <c r="H25" s="4">
        <f t="shared" si="5"/>
        <v>4065</v>
      </c>
      <c r="I25" s="4">
        <f t="shared" si="6"/>
        <v>1154</v>
      </c>
      <c r="J25" s="4">
        <f t="shared" si="1"/>
        <v>5219</v>
      </c>
      <c r="K25" s="19">
        <f t="shared" si="2"/>
        <v>15.017840699815837</v>
      </c>
    </row>
    <row r="26" spans="1:11" ht="18.75" customHeight="1">
      <c r="A26" s="89" t="s">
        <v>97</v>
      </c>
      <c r="B26" s="115">
        <f>B27+B28+B29</f>
        <v>390</v>
      </c>
      <c r="C26" s="115">
        <f>C27+C28+C29</f>
        <v>146</v>
      </c>
      <c r="D26" s="117"/>
      <c r="E26" s="115">
        <f>E27+E28+E29</f>
        <v>1169</v>
      </c>
      <c r="F26" s="115">
        <f>F27+F28+F29</f>
        <v>337</v>
      </c>
      <c r="G26" s="115"/>
      <c r="H26" s="115">
        <f t="shared" si="5"/>
        <v>1559</v>
      </c>
      <c r="I26" s="115">
        <f t="shared" si="6"/>
        <v>483</v>
      </c>
      <c r="J26" s="115">
        <f t="shared" si="1"/>
        <v>2042</v>
      </c>
      <c r="K26" s="112">
        <f t="shared" si="2"/>
        <v>5.875920810313075</v>
      </c>
    </row>
    <row r="27" spans="1:11" ht="12.75">
      <c r="A27" s="3" t="s">
        <v>98</v>
      </c>
      <c r="B27" s="4">
        <v>93</v>
      </c>
      <c r="C27" s="4">
        <v>28</v>
      </c>
      <c r="D27" s="92"/>
      <c r="E27" s="4">
        <v>327</v>
      </c>
      <c r="F27" s="4">
        <v>94</v>
      </c>
      <c r="G27" s="4"/>
      <c r="H27" s="4">
        <f t="shared" si="5"/>
        <v>420</v>
      </c>
      <c r="I27" s="4">
        <f t="shared" si="6"/>
        <v>122</v>
      </c>
      <c r="J27" s="4">
        <f t="shared" si="1"/>
        <v>542</v>
      </c>
      <c r="K27" s="19">
        <f t="shared" si="2"/>
        <v>1.559622467771639</v>
      </c>
    </row>
    <row r="28" spans="1:11" ht="12.75">
      <c r="A28" s="1" t="s">
        <v>99</v>
      </c>
      <c r="B28" s="4">
        <v>185</v>
      </c>
      <c r="C28" s="4">
        <v>75</v>
      </c>
      <c r="D28" s="92"/>
      <c r="E28" s="4">
        <v>455</v>
      </c>
      <c r="F28" s="4">
        <v>130</v>
      </c>
      <c r="G28" s="4"/>
      <c r="H28" s="4">
        <f t="shared" si="5"/>
        <v>640</v>
      </c>
      <c r="I28" s="4">
        <f t="shared" si="6"/>
        <v>205</v>
      </c>
      <c r="J28" s="4">
        <f t="shared" si="1"/>
        <v>845</v>
      </c>
      <c r="K28" s="19">
        <f t="shared" si="2"/>
        <v>2.431514732965009</v>
      </c>
    </row>
    <row r="29" spans="1:11" ht="12.75">
      <c r="A29" s="1" t="s">
        <v>100</v>
      </c>
      <c r="B29" s="4">
        <v>112</v>
      </c>
      <c r="C29" s="4">
        <v>43</v>
      </c>
      <c r="D29" s="92"/>
      <c r="E29" s="4">
        <v>387</v>
      </c>
      <c r="F29" s="4">
        <v>113</v>
      </c>
      <c r="G29" s="4"/>
      <c r="H29" s="4">
        <f t="shared" si="5"/>
        <v>499</v>
      </c>
      <c r="I29" s="4">
        <f t="shared" si="6"/>
        <v>156</v>
      </c>
      <c r="J29" s="4">
        <f t="shared" si="1"/>
        <v>655</v>
      </c>
      <c r="K29" s="19">
        <f t="shared" si="2"/>
        <v>1.8847836095764272</v>
      </c>
    </row>
    <row r="30" spans="1:11" ht="18.75" customHeight="1">
      <c r="A30" s="14" t="s">
        <v>101</v>
      </c>
      <c r="B30" s="115">
        <f>B31+B32</f>
        <v>132</v>
      </c>
      <c r="C30" s="115">
        <f>C31+C32</f>
        <v>44</v>
      </c>
      <c r="D30" s="117"/>
      <c r="E30" s="115">
        <f>E31+E32</f>
        <v>449</v>
      </c>
      <c r="F30" s="115">
        <f>F31+F32</f>
        <v>166</v>
      </c>
      <c r="G30" s="115"/>
      <c r="H30" s="115">
        <f t="shared" si="5"/>
        <v>581</v>
      </c>
      <c r="I30" s="115">
        <f t="shared" si="6"/>
        <v>210</v>
      </c>
      <c r="J30" s="115">
        <f t="shared" si="1"/>
        <v>791</v>
      </c>
      <c r="K30" s="112">
        <f t="shared" si="2"/>
        <v>2.2761279926335174</v>
      </c>
    </row>
    <row r="31" spans="1:11" ht="12.75">
      <c r="A31" s="1" t="s">
        <v>102</v>
      </c>
      <c r="B31" s="4">
        <v>120</v>
      </c>
      <c r="C31" s="4">
        <v>36</v>
      </c>
      <c r="D31" s="92"/>
      <c r="E31" s="4">
        <v>334</v>
      </c>
      <c r="F31" s="4">
        <v>117</v>
      </c>
      <c r="G31" s="4"/>
      <c r="H31" s="4">
        <f t="shared" si="5"/>
        <v>454</v>
      </c>
      <c r="I31" s="4">
        <f t="shared" si="6"/>
        <v>153</v>
      </c>
      <c r="J31" s="4">
        <f t="shared" si="1"/>
        <v>607</v>
      </c>
      <c r="K31" s="19">
        <f t="shared" si="2"/>
        <v>1.7466620626151013</v>
      </c>
    </row>
    <row r="32" spans="1:11" ht="12.75">
      <c r="A32" s="1" t="s">
        <v>103</v>
      </c>
      <c r="B32" s="4">
        <v>12</v>
      </c>
      <c r="C32" s="4">
        <v>8</v>
      </c>
      <c r="D32" s="92"/>
      <c r="E32" s="4">
        <v>115</v>
      </c>
      <c r="F32" s="4">
        <v>49</v>
      </c>
      <c r="G32" s="4"/>
      <c r="H32" s="4">
        <f t="shared" si="5"/>
        <v>127</v>
      </c>
      <c r="I32" s="4">
        <f t="shared" si="6"/>
        <v>57</v>
      </c>
      <c r="J32" s="4">
        <f t="shared" si="1"/>
        <v>184</v>
      </c>
      <c r="K32" s="19">
        <f t="shared" si="2"/>
        <v>0.5294659300184162</v>
      </c>
    </row>
    <row r="33" spans="1:11" ht="18.75" customHeight="1">
      <c r="A33" s="14" t="s">
        <v>104</v>
      </c>
      <c r="B33" s="115">
        <f>B34+B35</f>
        <v>99</v>
      </c>
      <c r="C33" s="115">
        <f>C34+C35</f>
        <v>46</v>
      </c>
      <c r="D33" s="117"/>
      <c r="E33" s="115">
        <f>E34+E35</f>
        <v>433</v>
      </c>
      <c r="F33" s="115">
        <f>F34+F35</f>
        <v>188</v>
      </c>
      <c r="G33" s="115"/>
      <c r="H33" s="115">
        <f t="shared" si="5"/>
        <v>532</v>
      </c>
      <c r="I33" s="115">
        <f t="shared" si="6"/>
        <v>234</v>
      </c>
      <c r="J33" s="115">
        <f t="shared" si="1"/>
        <v>766</v>
      </c>
      <c r="K33" s="112">
        <f t="shared" si="2"/>
        <v>2.2041896869244937</v>
      </c>
    </row>
    <row r="34" spans="1:11" ht="12.75">
      <c r="A34" s="1" t="s">
        <v>105</v>
      </c>
      <c r="B34" s="4">
        <v>70</v>
      </c>
      <c r="C34" s="4">
        <v>32</v>
      </c>
      <c r="D34" s="92"/>
      <c r="E34" s="4">
        <v>226</v>
      </c>
      <c r="F34" s="4">
        <v>112</v>
      </c>
      <c r="G34" s="4"/>
      <c r="H34" s="4">
        <f t="shared" si="5"/>
        <v>296</v>
      </c>
      <c r="I34" s="4">
        <f t="shared" si="6"/>
        <v>144</v>
      </c>
      <c r="J34" s="4">
        <f t="shared" si="1"/>
        <v>440</v>
      </c>
      <c r="K34" s="19">
        <f t="shared" si="2"/>
        <v>1.2661141804788214</v>
      </c>
    </row>
    <row r="35" spans="1:11" ht="12.75">
      <c r="A35" s="2" t="s">
        <v>106</v>
      </c>
      <c r="B35" s="63">
        <v>29</v>
      </c>
      <c r="C35" s="63">
        <v>14</v>
      </c>
      <c r="D35" s="95"/>
      <c r="E35" s="63">
        <v>207</v>
      </c>
      <c r="F35" s="63">
        <v>76</v>
      </c>
      <c r="G35" s="63"/>
      <c r="H35" s="63">
        <f t="shared" si="5"/>
        <v>236</v>
      </c>
      <c r="I35" s="63">
        <f t="shared" si="6"/>
        <v>90</v>
      </c>
      <c r="J35" s="63">
        <f t="shared" si="1"/>
        <v>326</v>
      </c>
      <c r="K35" s="63">
        <f t="shared" si="2"/>
        <v>0.9380755064456723</v>
      </c>
    </row>
    <row r="36" spans="1:10" ht="24" customHeight="1">
      <c r="A36" s="15"/>
      <c r="B36" s="19"/>
      <c r="C36" s="19"/>
      <c r="D36" s="19"/>
      <c r="E36" s="19"/>
      <c r="F36" s="19"/>
      <c r="G36" s="19"/>
      <c r="H36" s="19"/>
      <c r="I36" s="19"/>
      <c r="J36" s="19"/>
    </row>
    <row r="37" spans="1:10" ht="27.75" customHeight="1">
      <c r="A37" s="183" t="s">
        <v>128</v>
      </c>
      <c r="B37" s="168"/>
      <c r="C37" s="168"/>
      <c r="D37" s="168"/>
      <c r="E37" s="168"/>
      <c r="F37" s="168"/>
      <c r="G37" s="168"/>
      <c r="H37" s="168"/>
      <c r="I37" s="168"/>
      <c r="J37" s="168"/>
    </row>
  </sheetData>
  <sheetProtection/>
  <mergeCells count="6">
    <mergeCell ref="A1:K1"/>
    <mergeCell ref="A37:J37"/>
    <mergeCell ref="B4:C4"/>
    <mergeCell ref="E4:F4"/>
    <mergeCell ref="H4:J4"/>
    <mergeCell ref="A3:K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J66"/>
  <sheetViews>
    <sheetView zoomScalePageLayoutView="0" workbookViewId="0" topLeftCell="A1">
      <selection activeCell="D34" sqref="D34:D35"/>
    </sheetView>
  </sheetViews>
  <sheetFormatPr defaultColWidth="9.140625" defaultRowHeight="12.75"/>
  <cols>
    <col min="1" max="1" width="21.421875" style="0" customWidth="1"/>
    <col min="2" max="2" width="13.8515625" style="0" customWidth="1"/>
    <col min="3" max="3" width="13.00390625" style="0" customWidth="1"/>
    <col min="4" max="4" width="12.421875" style="0" customWidth="1"/>
    <col min="5" max="5" width="13.00390625" style="0" customWidth="1"/>
    <col min="6" max="6" width="13.140625" style="0" customWidth="1"/>
    <col min="7" max="8" width="9.140625" style="0" hidden="1" customWidth="1"/>
    <col min="9" max="9" width="13.140625" style="0" hidden="1" customWidth="1"/>
    <col min="10" max="10" width="9.7109375" style="0" customWidth="1"/>
  </cols>
  <sheetData>
    <row r="1" spans="1:9" ht="27" customHeight="1">
      <c r="A1" s="173" t="s">
        <v>152</v>
      </c>
      <c r="B1" s="174"/>
      <c r="C1" s="174"/>
      <c r="D1" s="174"/>
      <c r="E1" s="174"/>
      <c r="F1" s="174"/>
      <c r="G1" s="174"/>
      <c r="H1" s="174"/>
      <c r="I1" s="174"/>
    </row>
    <row r="2" spans="1:9" ht="7.5" customHeight="1">
      <c r="A2" s="75"/>
      <c r="B2" s="76"/>
      <c r="C2" s="76"/>
      <c r="D2" s="76"/>
      <c r="E2" s="76"/>
      <c r="F2" s="76"/>
      <c r="G2" s="76"/>
      <c r="H2" s="76"/>
      <c r="I2" s="76"/>
    </row>
    <row r="3" spans="1:9" ht="27" customHeight="1">
      <c r="A3" s="176" t="s">
        <v>153</v>
      </c>
      <c r="B3" s="176"/>
      <c r="C3" s="176"/>
      <c r="D3" s="176"/>
      <c r="E3" s="176"/>
      <c r="F3" s="176"/>
      <c r="G3" s="176"/>
      <c r="H3" s="176"/>
      <c r="I3" s="176"/>
    </row>
    <row r="4" spans="1:9" ht="18.75" customHeight="1">
      <c r="A4" s="5" t="s">
        <v>112</v>
      </c>
      <c r="B4" s="10" t="s">
        <v>3</v>
      </c>
      <c r="C4" s="10" t="s">
        <v>113</v>
      </c>
      <c r="D4" s="10" t="s">
        <v>114</v>
      </c>
      <c r="E4" s="10" t="s">
        <v>115</v>
      </c>
      <c r="F4" s="10" t="s">
        <v>4</v>
      </c>
      <c r="G4" s="38"/>
      <c r="H4" s="38"/>
      <c r="I4" s="38"/>
    </row>
    <row r="5" spans="1:9" ht="18.75" customHeight="1">
      <c r="A5" s="61" t="s">
        <v>56</v>
      </c>
      <c r="B5" s="137"/>
      <c r="C5" s="19"/>
      <c r="D5" s="137"/>
      <c r="E5" s="19"/>
      <c r="F5" s="137"/>
      <c r="G5" s="6"/>
      <c r="H5" s="26"/>
      <c r="I5" s="6"/>
    </row>
    <row r="6" spans="1:9" ht="18.75" customHeight="1">
      <c r="A6" s="138" t="s">
        <v>205</v>
      </c>
      <c r="B6" s="115">
        <f>B7+B8</f>
        <v>368618</v>
      </c>
      <c r="C6" s="115">
        <f>C7+C8</f>
        <v>274964</v>
      </c>
      <c r="D6" s="115">
        <f>D7+D8</f>
        <v>12713</v>
      </c>
      <c r="E6" s="115">
        <f>E7+E8</f>
        <v>22475</v>
      </c>
      <c r="F6" s="115">
        <v>368618</v>
      </c>
      <c r="G6" s="6"/>
      <c r="H6" s="26"/>
      <c r="I6" s="6"/>
    </row>
    <row r="7" spans="1:9" ht="12.75">
      <c r="A7" s="8" t="s">
        <v>17</v>
      </c>
      <c r="B7" s="4">
        <v>223196</v>
      </c>
      <c r="C7" s="4">
        <v>165973</v>
      </c>
      <c r="D7" s="4">
        <v>8607</v>
      </c>
      <c r="E7" s="4">
        <v>14109</v>
      </c>
      <c r="F7" s="4">
        <v>223196</v>
      </c>
      <c r="G7" s="6"/>
      <c r="H7" s="26"/>
      <c r="I7" s="6"/>
    </row>
    <row r="8" spans="1:9" ht="12.75">
      <c r="A8" s="8" t="s">
        <v>19</v>
      </c>
      <c r="B8" s="4">
        <v>145422</v>
      </c>
      <c r="C8" s="4">
        <v>108991</v>
      </c>
      <c r="D8" s="4">
        <v>4106</v>
      </c>
      <c r="E8" s="4">
        <v>8366</v>
      </c>
      <c r="F8" s="4">
        <v>145422</v>
      </c>
      <c r="G8" s="6"/>
      <c r="H8" s="26"/>
      <c r="I8" s="6"/>
    </row>
    <row r="9" spans="1:10" ht="18.75" customHeight="1">
      <c r="A9" s="138" t="s">
        <v>50</v>
      </c>
      <c r="B9" s="115">
        <f>B10+B11</f>
        <v>342613</v>
      </c>
      <c r="C9" s="115">
        <f>C10+C11</f>
        <v>262786</v>
      </c>
      <c r="D9" s="115">
        <f>D10+D11</f>
        <v>12485</v>
      </c>
      <c r="E9" s="115">
        <f>E10+E11</f>
        <v>20875</v>
      </c>
      <c r="F9" s="115">
        <v>342613</v>
      </c>
      <c r="G9" s="28"/>
      <c r="H9" s="28"/>
      <c r="I9" s="28"/>
      <c r="J9" s="28"/>
    </row>
    <row r="10" spans="1:10" ht="12.75">
      <c r="A10" s="8" t="s">
        <v>17</v>
      </c>
      <c r="B10" s="4">
        <v>203790</v>
      </c>
      <c r="C10" s="4">
        <v>157602</v>
      </c>
      <c r="D10" s="4">
        <v>8453</v>
      </c>
      <c r="E10" s="4">
        <v>12996</v>
      </c>
      <c r="F10" s="4">
        <v>203790</v>
      </c>
      <c r="G10" s="28"/>
      <c r="H10" s="28"/>
      <c r="I10" s="28"/>
      <c r="J10" s="28"/>
    </row>
    <row r="11" spans="1:10" ht="12.75">
      <c r="A11" s="8" t="s">
        <v>19</v>
      </c>
      <c r="B11" s="4">
        <v>138823</v>
      </c>
      <c r="C11" s="4">
        <v>105184</v>
      </c>
      <c r="D11" s="4">
        <v>4032</v>
      </c>
      <c r="E11" s="4">
        <v>7879</v>
      </c>
      <c r="F11" s="4">
        <v>138823</v>
      </c>
      <c r="G11" s="28"/>
      <c r="H11" s="28"/>
      <c r="I11" s="28"/>
      <c r="J11" s="28"/>
    </row>
    <row r="12" spans="1:10" ht="18.75" customHeight="1">
      <c r="A12" s="138" t="s">
        <v>51</v>
      </c>
      <c r="B12" s="115">
        <f>B13+B14</f>
        <v>29455</v>
      </c>
      <c r="C12" s="115">
        <f>C13+C14</f>
        <v>14417</v>
      </c>
      <c r="D12" s="115">
        <f>D13+D14</f>
        <v>215</v>
      </c>
      <c r="E12" s="115">
        <f>E13+E14</f>
        <v>1658</v>
      </c>
      <c r="F12" s="115">
        <v>29455</v>
      </c>
      <c r="G12" s="28"/>
      <c r="H12" s="28"/>
      <c r="I12" s="28"/>
      <c r="J12" s="28"/>
    </row>
    <row r="13" spans="1:10" ht="12.75">
      <c r="A13" s="8" t="s">
        <v>17</v>
      </c>
      <c r="B13" s="4">
        <v>21853</v>
      </c>
      <c r="C13" s="4">
        <v>9900</v>
      </c>
      <c r="D13" s="4">
        <v>149</v>
      </c>
      <c r="E13" s="4">
        <v>1153</v>
      </c>
      <c r="F13" s="4">
        <v>21853</v>
      </c>
      <c r="G13" s="28"/>
      <c r="H13" s="28"/>
      <c r="I13" s="28"/>
      <c r="J13" s="28"/>
    </row>
    <row r="14" spans="1:10" ht="12.75">
      <c r="A14" s="8" t="s">
        <v>19</v>
      </c>
      <c r="B14" s="4">
        <v>7602</v>
      </c>
      <c r="C14" s="4">
        <v>4517</v>
      </c>
      <c r="D14" s="4">
        <v>66</v>
      </c>
      <c r="E14" s="4">
        <v>505</v>
      </c>
      <c r="F14" s="4">
        <v>7602</v>
      </c>
      <c r="G14" s="28"/>
      <c r="H14" s="28"/>
      <c r="I14" s="28"/>
      <c r="J14" s="28"/>
    </row>
    <row r="15" spans="1:10" ht="12.75">
      <c r="A15" s="8"/>
      <c r="B15" s="1"/>
      <c r="C15" s="1"/>
      <c r="D15" s="1"/>
      <c r="E15" s="1"/>
      <c r="F15" s="1"/>
      <c r="G15" s="28"/>
      <c r="H15" s="28"/>
      <c r="I15" s="28"/>
      <c r="J15" s="28"/>
    </row>
    <row r="16" spans="1:10" ht="16.5" customHeight="1">
      <c r="A16" s="14" t="s">
        <v>149</v>
      </c>
      <c r="B16" s="92"/>
      <c r="C16" s="92"/>
      <c r="D16" s="92"/>
      <c r="E16" s="92"/>
      <c r="F16" s="92"/>
      <c r="G16" s="28"/>
      <c r="H16" s="28"/>
      <c r="I16" s="28"/>
      <c r="J16" s="28"/>
    </row>
    <row r="17" spans="1:10" ht="18.75" customHeight="1">
      <c r="A17" s="138" t="s">
        <v>4</v>
      </c>
      <c r="B17" s="120">
        <f>B18+B19</f>
        <v>7466.866</v>
      </c>
      <c r="C17" s="120">
        <f>C18+C19</f>
        <v>9538.905</v>
      </c>
      <c r="D17" s="120">
        <f>D18+D19</f>
        <v>171.527</v>
      </c>
      <c r="E17" s="120">
        <f>E18+E19</f>
        <v>274.575</v>
      </c>
      <c r="F17" s="121">
        <f aca="true" t="shared" si="0" ref="F17:F25">B17+C17+D17+E17</f>
        <v>17451.873</v>
      </c>
      <c r="G17" s="28"/>
      <c r="H17" s="28"/>
      <c r="I17" s="28"/>
      <c r="J17" s="28"/>
    </row>
    <row r="18" spans="1:10" ht="12.75">
      <c r="A18" s="8" t="s">
        <v>17</v>
      </c>
      <c r="B18" s="139">
        <f>B21+B24</f>
        <v>4556.095</v>
      </c>
      <c r="C18" s="139">
        <f>C21+C24</f>
        <v>5702.868</v>
      </c>
      <c r="D18" s="139">
        <f>D24+D21</f>
        <v>107.441</v>
      </c>
      <c r="E18" s="139">
        <f>E21+E24</f>
        <v>171.882</v>
      </c>
      <c r="F18" s="139">
        <f t="shared" si="0"/>
        <v>10538.286</v>
      </c>
      <c r="G18" s="28"/>
      <c r="H18" s="28"/>
      <c r="I18" s="28"/>
      <c r="J18" s="28"/>
    </row>
    <row r="19" spans="1:10" ht="12.75">
      <c r="A19" s="8" t="s">
        <v>19</v>
      </c>
      <c r="B19" s="7">
        <f>B22+B25</f>
        <v>2910.771</v>
      </c>
      <c r="C19" s="7">
        <f>C22+C25</f>
        <v>3836.037</v>
      </c>
      <c r="D19" s="7">
        <f>D22+D25</f>
        <v>64.086</v>
      </c>
      <c r="E19" s="7">
        <f>E22+E25</f>
        <v>102.693</v>
      </c>
      <c r="F19" s="139">
        <f t="shared" si="0"/>
        <v>6913.587</v>
      </c>
      <c r="G19" s="28"/>
      <c r="H19" s="28"/>
      <c r="I19" s="28"/>
      <c r="J19" s="28"/>
    </row>
    <row r="20" spans="1:10" ht="18.75" customHeight="1">
      <c r="A20" s="138" t="s">
        <v>50</v>
      </c>
      <c r="B20" s="120">
        <f>B21+B22</f>
        <v>6525.457</v>
      </c>
      <c r="C20" s="120">
        <f>C21+C22</f>
        <v>9440.349</v>
      </c>
      <c r="D20" s="120">
        <f>D21+D22</f>
        <v>169.992</v>
      </c>
      <c r="E20" s="120">
        <f>E21+E22</f>
        <v>259.723</v>
      </c>
      <c r="F20" s="121">
        <f t="shared" si="0"/>
        <v>16395.521</v>
      </c>
      <c r="G20" s="28"/>
      <c r="H20" s="28"/>
      <c r="I20" s="28"/>
      <c r="J20" s="28"/>
    </row>
    <row r="21" spans="1:10" ht="12.75">
      <c r="A21" s="8" t="s">
        <v>17</v>
      </c>
      <c r="B21" s="139">
        <v>3852.466</v>
      </c>
      <c r="C21" s="139">
        <v>5635.028</v>
      </c>
      <c r="D21" s="139">
        <v>106.425</v>
      </c>
      <c r="E21" s="139">
        <v>161.507</v>
      </c>
      <c r="F21" s="139">
        <f t="shared" si="0"/>
        <v>9755.426</v>
      </c>
      <c r="G21" s="28"/>
      <c r="H21" s="28"/>
      <c r="I21" s="28"/>
      <c r="J21" s="28"/>
    </row>
    <row r="22" spans="1:10" ht="12.75">
      <c r="A22" s="8" t="s">
        <v>19</v>
      </c>
      <c r="B22" s="7">
        <v>2672.991</v>
      </c>
      <c r="C22" s="7">
        <v>3805.321</v>
      </c>
      <c r="D22" s="7">
        <v>63.567</v>
      </c>
      <c r="E22" s="7">
        <v>98.216</v>
      </c>
      <c r="F22" s="139">
        <f t="shared" si="0"/>
        <v>6640.095</v>
      </c>
      <c r="G22" s="28"/>
      <c r="H22" s="28"/>
      <c r="I22" s="28"/>
      <c r="J22" s="28"/>
    </row>
    <row r="23" spans="1:10" ht="18.75" customHeight="1">
      <c r="A23" s="140" t="s">
        <v>51</v>
      </c>
      <c r="B23" s="121">
        <f>B24+B25</f>
        <v>941.409</v>
      </c>
      <c r="C23" s="121">
        <f>C24+C25</f>
        <v>98.55600000000001</v>
      </c>
      <c r="D23" s="121">
        <f>D24+D25</f>
        <v>1.5350000000000001</v>
      </c>
      <c r="E23" s="121">
        <f>E24+E25</f>
        <v>14.852</v>
      </c>
      <c r="F23" s="121">
        <f t="shared" si="0"/>
        <v>1056.352</v>
      </c>
      <c r="G23" s="28"/>
      <c r="H23" s="28"/>
      <c r="I23" s="28"/>
      <c r="J23" s="28"/>
    </row>
    <row r="24" spans="1:10" ht="12.75">
      <c r="A24" s="22" t="s">
        <v>17</v>
      </c>
      <c r="B24" s="7">
        <v>703.629</v>
      </c>
      <c r="C24" s="7">
        <v>67.84</v>
      </c>
      <c r="D24" s="7">
        <v>1.016</v>
      </c>
      <c r="E24" s="7">
        <v>10.375</v>
      </c>
      <c r="F24" s="139">
        <f t="shared" si="0"/>
        <v>782.86</v>
      </c>
      <c r="G24" s="28"/>
      <c r="H24" s="28"/>
      <c r="I24" s="28"/>
      <c r="J24" s="28"/>
    </row>
    <row r="25" spans="1:10" ht="12.75">
      <c r="A25" s="9" t="s">
        <v>19</v>
      </c>
      <c r="B25" s="141">
        <v>237.78</v>
      </c>
      <c r="C25" s="141">
        <v>30.716</v>
      </c>
      <c r="D25" s="141">
        <v>0.519</v>
      </c>
      <c r="E25" s="141">
        <v>4.477</v>
      </c>
      <c r="F25" s="141">
        <f t="shared" si="0"/>
        <v>273.49199999999996</v>
      </c>
      <c r="G25" s="28"/>
      <c r="H25" s="28"/>
      <c r="I25" s="28"/>
      <c r="J25" s="28"/>
    </row>
    <row r="26" spans="1:10" ht="24" customHeight="1">
      <c r="A26" s="35"/>
      <c r="B26" s="66"/>
      <c r="C26" s="66"/>
      <c r="D26" s="66"/>
      <c r="E26" s="66"/>
      <c r="F26" s="66"/>
      <c r="G26" s="28"/>
      <c r="H26" s="28"/>
      <c r="I26" s="28"/>
      <c r="J26" s="28"/>
    </row>
    <row r="27" spans="1:10" ht="27" customHeight="1">
      <c r="A27" s="167" t="s">
        <v>129</v>
      </c>
      <c r="B27" s="167"/>
      <c r="C27" s="167"/>
      <c r="D27" s="167"/>
      <c r="E27" s="167"/>
      <c r="F27" s="167"/>
      <c r="G27" s="28"/>
      <c r="H27" s="28"/>
      <c r="I27" s="28"/>
      <c r="J27" s="28"/>
    </row>
    <row r="28" spans="1:10" ht="12.75">
      <c r="A28" s="28"/>
      <c r="B28" s="28"/>
      <c r="C28" s="28"/>
      <c r="D28" s="28"/>
      <c r="E28" s="28"/>
      <c r="F28" s="28"/>
      <c r="G28" s="28"/>
      <c r="H28" s="28"/>
      <c r="I28" s="28"/>
      <c r="J28" s="28"/>
    </row>
    <row r="29" spans="1:10" ht="12.75">
      <c r="A29" s="28"/>
      <c r="B29" s="28"/>
      <c r="C29" s="28"/>
      <c r="D29" s="28"/>
      <c r="E29" s="28"/>
      <c r="F29" s="28"/>
      <c r="G29" s="28"/>
      <c r="H29" s="28"/>
      <c r="I29" s="28"/>
      <c r="J29" s="28"/>
    </row>
    <row r="30" spans="1:10" ht="12.75">
      <c r="A30" s="28"/>
      <c r="B30" s="28"/>
      <c r="C30" s="28"/>
      <c r="D30" s="28"/>
      <c r="E30" s="28"/>
      <c r="F30" s="28"/>
      <c r="G30" s="28"/>
      <c r="H30" s="28"/>
      <c r="I30" s="28"/>
      <c r="J30" s="28"/>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8"/>
      <c r="B45" s="28"/>
      <c r="C45" s="28"/>
      <c r="D45" s="28"/>
      <c r="E45" s="28"/>
      <c r="F45" s="28"/>
      <c r="G45" s="28"/>
      <c r="H45" s="28"/>
      <c r="I45" s="28"/>
      <c r="J45" s="28"/>
    </row>
    <row r="46" spans="1:10" ht="12.75">
      <c r="A46" s="28"/>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row r="54" spans="1:10" ht="12.75">
      <c r="A54" s="28"/>
      <c r="B54" s="28"/>
      <c r="C54" s="28"/>
      <c r="D54" s="28"/>
      <c r="E54" s="28"/>
      <c r="F54" s="28"/>
      <c r="G54" s="28"/>
      <c r="H54" s="28"/>
      <c r="I54" s="28"/>
      <c r="J54" s="28"/>
    </row>
    <row r="55" spans="1:10" ht="12.75">
      <c r="A55" s="28"/>
      <c r="B55" s="28"/>
      <c r="C55" s="28"/>
      <c r="D55" s="28"/>
      <c r="E55" s="28"/>
      <c r="F55" s="28"/>
      <c r="G55" s="28"/>
      <c r="H55" s="28"/>
      <c r="I55" s="28"/>
      <c r="J55" s="28"/>
    </row>
    <row r="56" spans="1:10" ht="12.75">
      <c r="A56" s="28"/>
      <c r="B56" s="28"/>
      <c r="C56" s="28"/>
      <c r="D56" s="28"/>
      <c r="E56" s="28"/>
      <c r="F56" s="28"/>
      <c r="G56" s="28"/>
      <c r="H56" s="28"/>
      <c r="I56" s="28"/>
      <c r="J56" s="28"/>
    </row>
    <row r="57" spans="1:10" ht="12.75">
      <c r="A57" s="28"/>
      <c r="B57" s="28"/>
      <c r="C57" s="28"/>
      <c r="D57" s="28"/>
      <c r="E57" s="28"/>
      <c r="F57" s="28"/>
      <c r="G57" s="28"/>
      <c r="H57" s="28"/>
      <c r="I57" s="28"/>
      <c r="J57" s="28"/>
    </row>
    <row r="58" spans="1:10" ht="12.75">
      <c r="A58" s="28"/>
      <c r="B58" s="28"/>
      <c r="C58" s="28"/>
      <c r="D58" s="28"/>
      <c r="E58" s="28"/>
      <c r="F58" s="28"/>
      <c r="G58" s="28"/>
      <c r="H58" s="28"/>
      <c r="I58" s="28"/>
      <c r="J58" s="28"/>
    </row>
    <row r="59" spans="1:10" ht="12.75">
      <c r="A59" s="28"/>
      <c r="B59" s="28"/>
      <c r="C59" s="28"/>
      <c r="D59" s="28"/>
      <c r="E59" s="28"/>
      <c r="F59" s="28"/>
      <c r="G59" s="28"/>
      <c r="H59" s="28"/>
      <c r="I59" s="28"/>
      <c r="J59" s="28"/>
    </row>
    <row r="60" spans="1:10" ht="12.75">
      <c r="A60" s="28"/>
      <c r="B60" s="28"/>
      <c r="C60" s="28"/>
      <c r="D60" s="28"/>
      <c r="E60" s="28"/>
      <c r="F60" s="28"/>
      <c r="G60" s="28"/>
      <c r="H60" s="28"/>
      <c r="I60" s="28"/>
      <c r="J60" s="28"/>
    </row>
    <row r="61" spans="1:10" ht="12.75">
      <c r="A61" s="28"/>
      <c r="B61" s="28"/>
      <c r="C61" s="28"/>
      <c r="D61" s="28"/>
      <c r="E61" s="28"/>
      <c r="F61" s="28"/>
      <c r="G61" s="28"/>
      <c r="H61" s="28"/>
      <c r="I61" s="28"/>
      <c r="J61" s="28"/>
    </row>
    <row r="62" spans="1:10" ht="12.75">
      <c r="A62" s="28"/>
      <c r="B62" s="28"/>
      <c r="C62" s="28"/>
      <c r="D62" s="28"/>
      <c r="E62" s="28"/>
      <c r="F62" s="28"/>
      <c r="G62" s="28"/>
      <c r="H62" s="28"/>
      <c r="I62" s="28"/>
      <c r="J62" s="28"/>
    </row>
    <row r="63" spans="1:10" ht="12.75">
      <c r="A63" s="28"/>
      <c r="B63" s="28"/>
      <c r="C63" s="28"/>
      <c r="D63" s="28"/>
      <c r="E63" s="28"/>
      <c r="F63" s="28"/>
      <c r="G63" s="28"/>
      <c r="H63" s="28"/>
      <c r="I63" s="28"/>
      <c r="J63" s="28"/>
    </row>
    <row r="64" spans="1:10" ht="12.75">
      <c r="A64" s="28"/>
      <c r="B64" s="28"/>
      <c r="C64" s="28"/>
      <c r="D64" s="28"/>
      <c r="E64" s="28"/>
      <c r="F64" s="28"/>
      <c r="G64" s="28"/>
      <c r="H64" s="28"/>
      <c r="I64" s="28"/>
      <c r="J64" s="28"/>
    </row>
    <row r="65" spans="1:10" ht="12.75">
      <c r="A65" s="28"/>
      <c r="B65" s="28"/>
      <c r="C65" s="28"/>
      <c r="D65" s="28"/>
      <c r="E65" s="28"/>
      <c r="F65" s="28"/>
      <c r="G65" s="28"/>
      <c r="H65" s="28"/>
      <c r="I65" s="28"/>
      <c r="J65" s="28"/>
    </row>
    <row r="66" spans="1:10" ht="12.75">
      <c r="A66" s="28"/>
      <c r="B66" s="28"/>
      <c r="C66" s="28"/>
      <c r="D66" s="28"/>
      <c r="E66" s="28"/>
      <c r="F66" s="28"/>
      <c r="G66" s="28"/>
      <c r="H66" s="28"/>
      <c r="I66" s="28"/>
      <c r="J66" s="28"/>
    </row>
  </sheetData>
  <sheetProtection/>
  <mergeCells count="3">
    <mergeCell ref="A1:I1"/>
    <mergeCell ref="A3:I3"/>
    <mergeCell ref="A27:F27"/>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dimension ref="A1:N58"/>
  <sheetViews>
    <sheetView zoomScalePageLayoutView="0" workbookViewId="0" topLeftCell="A1">
      <selection activeCell="D34" sqref="D34:D35"/>
    </sheetView>
  </sheetViews>
  <sheetFormatPr defaultColWidth="9.140625" defaultRowHeight="12.75"/>
  <cols>
    <col min="1" max="1" width="21.421875" style="0" customWidth="1"/>
    <col min="2" max="2" width="8.28125" style="0" customWidth="1"/>
    <col min="3" max="5" width="7.7109375" style="0" customWidth="1"/>
    <col min="6" max="6" width="1.7109375" style="0" customWidth="1"/>
    <col min="7" max="10" width="7.7109375" style="0" customWidth="1"/>
  </cols>
  <sheetData>
    <row r="1" spans="1:11" ht="27" customHeight="1">
      <c r="A1" s="173" t="s">
        <v>161</v>
      </c>
      <c r="B1" s="174"/>
      <c r="C1" s="174"/>
      <c r="D1" s="174"/>
      <c r="E1" s="174"/>
      <c r="F1" s="174"/>
      <c r="G1" s="174"/>
      <c r="H1" s="174"/>
      <c r="I1" s="174"/>
      <c r="J1" s="174"/>
      <c r="K1" s="16"/>
    </row>
    <row r="2" spans="1:11" ht="7.5" customHeight="1">
      <c r="A2" s="75"/>
      <c r="B2" s="76"/>
      <c r="C2" s="76"/>
      <c r="D2" s="76"/>
      <c r="E2" s="76"/>
      <c r="F2" s="76"/>
      <c r="G2" s="76"/>
      <c r="H2" s="76"/>
      <c r="I2" s="76"/>
      <c r="J2" s="76"/>
      <c r="K2" s="16"/>
    </row>
    <row r="3" spans="1:11" ht="27" customHeight="1">
      <c r="A3" s="168" t="s">
        <v>162</v>
      </c>
      <c r="B3" s="168"/>
      <c r="C3" s="168"/>
      <c r="D3" s="168"/>
      <c r="E3" s="168"/>
      <c r="F3" s="168"/>
      <c r="G3" s="168"/>
      <c r="H3" s="168"/>
      <c r="I3" s="168"/>
      <c r="J3" s="168"/>
      <c r="K3" s="17"/>
    </row>
    <row r="4" spans="1:10" ht="18.75" customHeight="1">
      <c r="A4" s="25" t="s">
        <v>130</v>
      </c>
      <c r="B4" s="78" t="s">
        <v>17</v>
      </c>
      <c r="C4" s="79"/>
      <c r="D4" s="78"/>
      <c r="E4" s="78"/>
      <c r="F4" s="25"/>
      <c r="G4" s="78" t="s">
        <v>19</v>
      </c>
      <c r="H4" s="78"/>
      <c r="I4" s="78"/>
      <c r="J4" s="78"/>
    </row>
    <row r="5" spans="1:10" ht="24" customHeight="1">
      <c r="A5" s="38" t="s">
        <v>131</v>
      </c>
      <c r="B5" s="49" t="s">
        <v>46</v>
      </c>
      <c r="C5" s="49" t="s">
        <v>52</v>
      </c>
      <c r="D5" s="49" t="s">
        <v>47</v>
      </c>
      <c r="E5" s="49" t="s">
        <v>67</v>
      </c>
      <c r="F5" s="49"/>
      <c r="G5" s="49" t="s">
        <v>46</v>
      </c>
      <c r="H5" s="49" t="s">
        <v>52</v>
      </c>
      <c r="I5" s="49" t="s">
        <v>47</v>
      </c>
      <c r="J5" s="49" t="s">
        <v>67</v>
      </c>
    </row>
    <row r="6" spans="1:10" ht="18.75" customHeight="1">
      <c r="A6" s="53" t="s">
        <v>184</v>
      </c>
      <c r="B6" s="118">
        <v>223196</v>
      </c>
      <c r="C6" s="118">
        <v>165973</v>
      </c>
      <c r="D6" s="118">
        <v>8607</v>
      </c>
      <c r="E6" s="118">
        <v>14109</v>
      </c>
      <c r="F6" s="118"/>
      <c r="G6" s="118">
        <v>145422</v>
      </c>
      <c r="H6" s="118">
        <v>108991</v>
      </c>
      <c r="I6" s="118">
        <v>4106</v>
      </c>
      <c r="J6" s="118">
        <v>8366</v>
      </c>
    </row>
    <row r="7" spans="1:10" ht="18.75" customHeight="1">
      <c r="A7" s="29" t="s">
        <v>9</v>
      </c>
      <c r="B7" s="118">
        <f>B8+B9</f>
        <v>11593</v>
      </c>
      <c r="C7" s="118">
        <f>C8+C9</f>
        <v>4284</v>
      </c>
      <c r="D7" s="118">
        <f>D8+D9</f>
        <v>19</v>
      </c>
      <c r="E7" s="118">
        <f>E8+E9</f>
        <v>131</v>
      </c>
      <c r="F7" s="118"/>
      <c r="G7" s="118">
        <f>G8+G9</f>
        <v>5170</v>
      </c>
      <c r="H7" s="118">
        <f>H8+H9</f>
        <v>2614</v>
      </c>
      <c r="I7" s="118">
        <f>I8+I9</f>
        <v>21</v>
      </c>
      <c r="J7" s="118">
        <f>J8+J9</f>
        <v>63</v>
      </c>
    </row>
    <row r="8" spans="1:10" ht="12.75">
      <c r="A8" s="36" t="s">
        <v>39</v>
      </c>
      <c r="B8" s="41">
        <v>1248</v>
      </c>
      <c r="C8" s="41">
        <v>370</v>
      </c>
      <c r="D8" s="41">
        <v>9</v>
      </c>
      <c r="E8" s="41">
        <v>9</v>
      </c>
      <c r="F8" s="62"/>
      <c r="G8" s="41">
        <v>728</v>
      </c>
      <c r="H8" s="41">
        <v>355</v>
      </c>
      <c r="I8" s="41">
        <v>4</v>
      </c>
      <c r="J8" s="41">
        <v>4</v>
      </c>
    </row>
    <row r="9" spans="1:14" ht="12.75">
      <c r="A9" s="36" t="s">
        <v>40</v>
      </c>
      <c r="B9" s="41">
        <v>10345</v>
      </c>
      <c r="C9" s="41">
        <v>3914</v>
      </c>
      <c r="D9" s="41">
        <v>10</v>
      </c>
      <c r="E9" s="41">
        <v>122</v>
      </c>
      <c r="F9" s="62"/>
      <c r="G9" s="41">
        <v>4442</v>
      </c>
      <c r="H9" s="41">
        <v>2259</v>
      </c>
      <c r="I9" s="41">
        <v>17</v>
      </c>
      <c r="J9" s="41">
        <v>59</v>
      </c>
      <c r="N9" t="s">
        <v>169</v>
      </c>
    </row>
    <row r="10" spans="1:10" ht="16.5" customHeight="1">
      <c r="A10" s="72" t="s">
        <v>10</v>
      </c>
      <c r="B10" s="69">
        <f>B11+B12+B13+B14+B15</f>
        <v>52965</v>
      </c>
      <c r="C10" s="69">
        <f>C11+C12+C13+C14+C15</f>
        <v>33129</v>
      </c>
      <c r="D10" s="69">
        <f>D11+D12+D13+D14+D15</f>
        <v>1490</v>
      </c>
      <c r="E10" s="69">
        <f>E11+E12+E13+E14+E15</f>
        <v>2063</v>
      </c>
      <c r="F10" s="69"/>
      <c r="G10" s="69">
        <f>G11+G12+G13+G14+G15</f>
        <v>30827</v>
      </c>
      <c r="H10" s="69">
        <f>H11+H12+H13+H14+H15</f>
        <v>19380</v>
      </c>
      <c r="I10" s="69">
        <f>I11+I12+I13+I14+I15</f>
        <v>917</v>
      </c>
      <c r="J10" s="69">
        <f>J11+J12+J13+J14+J15</f>
        <v>1147</v>
      </c>
    </row>
    <row r="11" spans="1:10" ht="12.75">
      <c r="A11" s="34" t="s">
        <v>42</v>
      </c>
      <c r="B11" s="41">
        <f>1652+166</f>
        <v>1818</v>
      </c>
      <c r="C11" s="41">
        <f>72+591</f>
        <v>663</v>
      </c>
      <c r="D11" s="41">
        <v>3</v>
      </c>
      <c r="E11" s="40">
        <v>2</v>
      </c>
      <c r="F11" s="90"/>
      <c r="G11" s="41">
        <f>262+2124</f>
        <v>2386</v>
      </c>
      <c r="H11" s="41">
        <f>84+695</f>
        <v>779</v>
      </c>
      <c r="I11" s="41">
        <v>4</v>
      </c>
      <c r="J11" s="41">
        <v>3</v>
      </c>
    </row>
    <row r="12" spans="1:10" ht="12.75">
      <c r="A12" s="34" t="s">
        <v>150</v>
      </c>
      <c r="B12" s="41">
        <v>1418</v>
      </c>
      <c r="C12" s="41">
        <v>1189</v>
      </c>
      <c r="D12" s="41">
        <v>869</v>
      </c>
      <c r="E12" s="41">
        <v>69</v>
      </c>
      <c r="F12" s="62"/>
      <c r="G12" s="41">
        <v>882</v>
      </c>
      <c r="H12" s="41">
        <v>744</v>
      </c>
      <c r="I12" s="41">
        <v>569</v>
      </c>
      <c r="J12" s="41">
        <v>69</v>
      </c>
    </row>
    <row r="13" spans="1:10" ht="12.75">
      <c r="A13" s="34" t="s">
        <v>39</v>
      </c>
      <c r="B13" s="41">
        <v>8111</v>
      </c>
      <c r="C13" s="41">
        <v>5763</v>
      </c>
      <c r="D13" s="41">
        <v>324</v>
      </c>
      <c r="E13" s="41">
        <v>288</v>
      </c>
      <c r="F13" s="62"/>
      <c r="G13" s="41">
        <v>5031</v>
      </c>
      <c r="H13" s="41">
        <v>3746</v>
      </c>
      <c r="I13" s="41">
        <v>173</v>
      </c>
      <c r="J13" s="41">
        <v>152</v>
      </c>
    </row>
    <row r="14" spans="1:10" ht="12.75">
      <c r="A14" s="34" t="s">
        <v>40</v>
      </c>
      <c r="B14" s="41">
        <v>40471</v>
      </c>
      <c r="C14" s="41">
        <v>24775</v>
      </c>
      <c r="D14" s="41">
        <v>283</v>
      </c>
      <c r="E14" s="41">
        <v>1671</v>
      </c>
      <c r="F14" s="62"/>
      <c r="G14" s="41">
        <v>20672</v>
      </c>
      <c r="H14" s="41">
        <v>12999</v>
      </c>
      <c r="I14" s="41">
        <v>163</v>
      </c>
      <c r="J14" s="41">
        <v>866</v>
      </c>
    </row>
    <row r="15" spans="1:10" ht="12.75">
      <c r="A15" s="34" t="s">
        <v>66</v>
      </c>
      <c r="B15" s="41">
        <f>598+549</f>
        <v>1147</v>
      </c>
      <c r="C15" s="41">
        <f>365+374</f>
        <v>739</v>
      </c>
      <c r="D15" s="41">
        <v>11</v>
      </c>
      <c r="E15" s="41">
        <v>33</v>
      </c>
      <c r="F15" s="62"/>
      <c r="G15" s="41">
        <f>1220+636</f>
        <v>1856</v>
      </c>
      <c r="H15" s="41">
        <f>638+474</f>
        <v>1112</v>
      </c>
      <c r="I15" s="41">
        <v>8</v>
      </c>
      <c r="J15" s="41">
        <v>57</v>
      </c>
    </row>
    <row r="16" spans="1:10" ht="16.5" customHeight="1">
      <c r="A16" s="30" t="s">
        <v>11</v>
      </c>
      <c r="B16" s="69">
        <f>SUM(B17:B22)</f>
        <v>169177</v>
      </c>
      <c r="C16" s="69">
        <f>SUM(C17:C22)</f>
        <v>133857</v>
      </c>
      <c r="D16" s="69">
        <f>SUM(D17:D22)</f>
        <v>7096</v>
      </c>
      <c r="E16" s="69">
        <f>SUM(E17:E22)</f>
        <v>12031</v>
      </c>
      <c r="F16" s="114"/>
      <c r="G16" s="69">
        <f>SUM(G17:G22)</f>
        <v>114096</v>
      </c>
      <c r="H16" s="69">
        <f>SUM(H17:H22)</f>
        <v>89693</v>
      </c>
      <c r="I16" s="69">
        <f>SUM(I17:I22)</f>
        <v>3151</v>
      </c>
      <c r="J16" s="69">
        <f>SUM(J17:J22)</f>
        <v>7078</v>
      </c>
    </row>
    <row r="17" spans="1:10" ht="12.75" customHeight="1">
      <c r="A17" s="34" t="s">
        <v>175</v>
      </c>
      <c r="B17" s="41">
        <v>158499</v>
      </c>
      <c r="C17" s="41">
        <v>125113</v>
      </c>
      <c r="D17" s="41">
        <v>5859</v>
      </c>
      <c r="E17" s="41">
        <v>10385</v>
      </c>
      <c r="F17" s="62"/>
      <c r="G17" s="41">
        <v>104265</v>
      </c>
      <c r="H17" s="41">
        <v>81866</v>
      </c>
      <c r="I17" s="41">
        <v>2200</v>
      </c>
      <c r="J17" s="41">
        <v>5430</v>
      </c>
    </row>
    <row r="18" spans="1:10" ht="12.75" customHeight="1">
      <c r="A18" s="36" t="s">
        <v>44</v>
      </c>
      <c r="B18" s="41">
        <v>107</v>
      </c>
      <c r="C18" s="41">
        <v>40</v>
      </c>
      <c r="D18" s="40">
        <v>2</v>
      </c>
      <c r="E18" s="41">
        <v>3</v>
      </c>
      <c r="F18" s="62"/>
      <c r="G18" s="41">
        <v>68</v>
      </c>
      <c r="H18" s="41">
        <v>34</v>
      </c>
      <c r="I18" s="40">
        <v>2</v>
      </c>
      <c r="J18" s="40">
        <v>1</v>
      </c>
    </row>
    <row r="19" spans="1:10" ht="12.75" customHeight="1">
      <c r="A19" s="34" t="s">
        <v>43</v>
      </c>
      <c r="B19" s="41">
        <v>7426</v>
      </c>
      <c r="C19" s="41">
        <v>6052</v>
      </c>
      <c r="D19" s="41">
        <v>536</v>
      </c>
      <c r="E19" s="41">
        <v>1254</v>
      </c>
      <c r="F19" s="62"/>
      <c r="G19" s="41">
        <v>6691</v>
      </c>
      <c r="H19" s="41">
        <v>5239</v>
      </c>
      <c r="I19" s="41">
        <v>339</v>
      </c>
      <c r="J19" s="41">
        <v>1111</v>
      </c>
    </row>
    <row r="20" spans="1:10" ht="12.75" customHeight="1">
      <c r="A20" s="34" t="s">
        <v>39</v>
      </c>
      <c r="B20" s="41">
        <v>1711</v>
      </c>
      <c r="C20" s="41">
        <v>1427</v>
      </c>
      <c r="D20" s="41">
        <v>146</v>
      </c>
      <c r="E20" s="41">
        <v>165</v>
      </c>
      <c r="F20" s="62"/>
      <c r="G20" s="41">
        <v>979</v>
      </c>
      <c r="H20" s="41">
        <v>832</v>
      </c>
      <c r="I20" s="41">
        <v>81</v>
      </c>
      <c r="J20" s="41">
        <v>109</v>
      </c>
    </row>
    <row r="21" spans="1:10" ht="12.75" customHeight="1">
      <c r="A21" s="34" t="s">
        <v>150</v>
      </c>
      <c r="B21" s="41">
        <v>466</v>
      </c>
      <c r="C21" s="41">
        <v>406</v>
      </c>
      <c r="D21" s="41">
        <v>284</v>
      </c>
      <c r="E21" s="41">
        <v>34</v>
      </c>
      <c r="F21" s="62"/>
      <c r="G21" s="41">
        <v>302</v>
      </c>
      <c r="H21" s="41">
        <v>269</v>
      </c>
      <c r="I21" s="41">
        <v>194</v>
      </c>
      <c r="J21" s="41">
        <v>33</v>
      </c>
    </row>
    <row r="22" spans="1:10" ht="12.75" customHeight="1">
      <c r="A22" s="35" t="s">
        <v>45</v>
      </c>
      <c r="B22" s="47">
        <v>968</v>
      </c>
      <c r="C22" s="47">
        <v>819</v>
      </c>
      <c r="D22" s="47">
        <v>269</v>
      </c>
      <c r="E22" s="47">
        <v>190</v>
      </c>
      <c r="F22" s="91"/>
      <c r="G22" s="47">
        <v>1791</v>
      </c>
      <c r="H22" s="47">
        <v>1453</v>
      </c>
      <c r="I22" s="47">
        <v>335</v>
      </c>
      <c r="J22" s="47">
        <v>394</v>
      </c>
    </row>
    <row r="23" spans="1:10" ht="24" customHeight="1">
      <c r="A23" s="73"/>
      <c r="B23" s="45"/>
      <c r="C23" s="45"/>
      <c r="D23" s="45"/>
      <c r="E23" s="45"/>
      <c r="F23" s="45"/>
      <c r="G23" s="45"/>
      <c r="H23" s="45"/>
      <c r="I23" s="45"/>
      <c r="J23" s="45"/>
    </row>
    <row r="24" spans="1:10" ht="27" customHeight="1">
      <c r="A24" s="167" t="s">
        <v>185</v>
      </c>
      <c r="B24" s="167"/>
      <c r="C24" s="167"/>
      <c r="D24" s="167"/>
      <c r="E24" s="167"/>
      <c r="F24" s="167"/>
      <c r="G24" s="167"/>
      <c r="H24" s="167"/>
      <c r="I24" s="167"/>
      <c r="J24" s="167"/>
    </row>
    <row r="25" spans="1:10" ht="12.75" customHeight="1">
      <c r="A25" s="28"/>
      <c r="B25" s="28"/>
      <c r="C25" s="28"/>
      <c r="D25" s="28"/>
      <c r="E25" s="28"/>
      <c r="F25" s="28"/>
      <c r="G25" s="28"/>
      <c r="H25" s="28"/>
      <c r="I25" s="28"/>
      <c r="J25" s="28"/>
    </row>
    <row r="26" spans="1:10" ht="12.75" customHeight="1">
      <c r="A26" s="28"/>
      <c r="B26" s="28"/>
      <c r="C26" s="28"/>
      <c r="D26" s="28"/>
      <c r="E26" s="28"/>
      <c r="F26" s="28"/>
      <c r="G26" s="28"/>
      <c r="H26" s="28"/>
      <c r="I26" s="28"/>
      <c r="J26" s="28"/>
    </row>
    <row r="27" spans="1:10" ht="12.75">
      <c r="A27" s="24"/>
      <c r="B27" s="28"/>
      <c r="C27" s="28"/>
      <c r="D27" s="28"/>
      <c r="E27" s="28"/>
      <c r="F27" s="28"/>
      <c r="G27" s="28"/>
      <c r="H27" s="28"/>
      <c r="I27" s="28"/>
      <c r="J27" s="28"/>
    </row>
    <row r="28" spans="1:10" ht="12.75">
      <c r="A28" s="28"/>
      <c r="B28" s="28"/>
      <c r="C28" s="28"/>
      <c r="D28" s="28"/>
      <c r="E28" s="28"/>
      <c r="F28" s="28"/>
      <c r="G28" s="28"/>
      <c r="H28" s="28"/>
      <c r="I28" s="28"/>
      <c r="J28" s="28"/>
    </row>
    <row r="29" spans="1:10" ht="12.75">
      <c r="A29" s="28"/>
      <c r="B29" s="28"/>
      <c r="C29" s="28"/>
      <c r="D29" s="28"/>
      <c r="E29" s="28"/>
      <c r="F29" s="28"/>
      <c r="G29" s="28"/>
      <c r="H29" s="28"/>
      <c r="I29" s="28"/>
      <c r="J29" s="28"/>
    </row>
    <row r="30" spans="1:10" ht="12.75">
      <c r="A30" s="28"/>
      <c r="B30" s="28"/>
      <c r="C30" s="28"/>
      <c r="D30" s="28"/>
      <c r="E30" s="28"/>
      <c r="F30" s="28"/>
      <c r="G30" s="28"/>
      <c r="H30" s="28"/>
      <c r="I30" s="28"/>
      <c r="J30" s="28"/>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30"/>
      <c r="B36" s="28"/>
      <c r="C36" s="28"/>
      <c r="D36" s="28"/>
      <c r="E36" s="28"/>
      <c r="F36" s="28"/>
      <c r="G36" s="28"/>
      <c r="H36" s="28"/>
      <c r="I36" s="28"/>
      <c r="J36" s="28"/>
    </row>
    <row r="37" spans="1:10" ht="12.75">
      <c r="A37" s="31"/>
      <c r="B37" s="28"/>
      <c r="C37" s="28"/>
      <c r="D37" s="28"/>
      <c r="E37" s="28"/>
      <c r="F37" s="28"/>
      <c r="G37" s="28"/>
      <c r="H37" s="28"/>
      <c r="I37" s="28"/>
      <c r="J37" s="28"/>
    </row>
    <row r="38" spans="1:10" ht="12.75">
      <c r="A38" s="31"/>
      <c r="B38" s="28"/>
      <c r="C38" s="28"/>
      <c r="D38" s="28"/>
      <c r="E38" s="28"/>
      <c r="F38" s="28"/>
      <c r="G38" s="28"/>
      <c r="H38" s="28"/>
      <c r="I38" s="28"/>
      <c r="J38" s="28"/>
    </row>
    <row r="39" spans="1:10" ht="12.75">
      <c r="A39" s="24"/>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9"/>
      <c r="B45" s="28"/>
      <c r="C45" s="28"/>
      <c r="D45" s="28"/>
      <c r="E45" s="28"/>
      <c r="F45" s="28"/>
      <c r="G45" s="28"/>
      <c r="H45" s="28"/>
      <c r="I45" s="28"/>
      <c r="J45" s="28"/>
    </row>
    <row r="46" spans="1:10" ht="12.75">
      <c r="A46" s="50"/>
      <c r="B46" s="39"/>
      <c r="C46" s="39"/>
      <c r="D46" s="39"/>
      <c r="E46" s="39"/>
      <c r="F46" s="39"/>
      <c r="G46" s="39"/>
      <c r="H46" s="39"/>
      <c r="I46" s="39"/>
      <c r="J46" s="39"/>
    </row>
    <row r="47" spans="1:10" ht="15" customHeight="1">
      <c r="A47" s="24"/>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row r="53" spans="1:10" ht="12.75">
      <c r="A53" s="28"/>
      <c r="B53" s="28"/>
      <c r="C53" s="28"/>
      <c r="D53" s="28"/>
      <c r="E53" s="28"/>
      <c r="F53" s="28"/>
      <c r="G53" s="28"/>
      <c r="H53" s="28"/>
      <c r="I53" s="28"/>
      <c r="J53" s="28"/>
    </row>
    <row r="54" spans="1:10" ht="12.75">
      <c r="A54" s="28"/>
      <c r="B54" s="28"/>
      <c r="C54" s="28"/>
      <c r="D54" s="28"/>
      <c r="E54" s="28"/>
      <c r="F54" s="28"/>
      <c r="G54" s="28"/>
      <c r="H54" s="28"/>
      <c r="I54" s="28"/>
      <c r="J54" s="28"/>
    </row>
    <row r="55" spans="1:10" ht="12.75">
      <c r="A55" s="28"/>
      <c r="B55" s="28"/>
      <c r="C55" s="28"/>
      <c r="D55" s="28"/>
      <c r="E55" s="28"/>
      <c r="F55" s="28"/>
      <c r="G55" s="28"/>
      <c r="H55" s="28"/>
      <c r="I55" s="28"/>
      <c r="J55" s="28"/>
    </row>
    <row r="56" spans="1:10" ht="12.75">
      <c r="A56" s="28"/>
      <c r="B56" s="28"/>
      <c r="C56" s="28"/>
      <c r="D56" s="28"/>
      <c r="E56" s="28"/>
      <c r="F56" s="28"/>
      <c r="G56" s="28"/>
      <c r="H56" s="28"/>
      <c r="I56" s="28"/>
      <c r="J56" s="28"/>
    </row>
    <row r="57" spans="1:10" ht="12.75">
      <c r="A57" s="28"/>
      <c r="B57" s="28"/>
      <c r="C57" s="28"/>
      <c r="D57" s="28"/>
      <c r="E57" s="28"/>
      <c r="F57" s="28"/>
      <c r="G57" s="28"/>
      <c r="H57" s="28"/>
      <c r="I57" s="28"/>
      <c r="J57" s="28"/>
    </row>
    <row r="58" spans="1:10" ht="12.75">
      <c r="A58" s="28"/>
      <c r="B58" s="28"/>
      <c r="C58" s="28"/>
      <c r="D58" s="28"/>
      <c r="E58" s="28"/>
      <c r="F58" s="28"/>
      <c r="G58" s="28"/>
      <c r="H58" s="28"/>
      <c r="I58" s="28"/>
      <c r="J58" s="28"/>
    </row>
  </sheetData>
  <sheetProtection/>
  <mergeCells count="3">
    <mergeCell ref="A1:J1"/>
    <mergeCell ref="A3:J3"/>
    <mergeCell ref="A24:J24"/>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dimension ref="A1:K52"/>
  <sheetViews>
    <sheetView zoomScalePageLayoutView="0" workbookViewId="0" topLeftCell="A1">
      <selection activeCell="D34" sqref="D34:D35"/>
    </sheetView>
  </sheetViews>
  <sheetFormatPr defaultColWidth="9.140625" defaultRowHeight="12.75"/>
  <cols>
    <col min="1" max="1" width="21.421875" style="0" customWidth="1"/>
    <col min="3" max="5" width="7.28125" style="0" customWidth="1"/>
    <col min="6" max="6" width="1.7109375" style="0" customWidth="1"/>
    <col min="7" max="10" width="7.28125" style="0" customWidth="1"/>
  </cols>
  <sheetData>
    <row r="1" spans="1:10" ht="27" customHeight="1">
      <c r="A1" s="173" t="s">
        <v>163</v>
      </c>
      <c r="B1" s="174"/>
      <c r="C1" s="174"/>
      <c r="D1" s="174"/>
      <c r="E1" s="174"/>
      <c r="F1" s="174"/>
      <c r="G1" s="174"/>
      <c r="H1" s="174"/>
      <c r="I1" s="174"/>
      <c r="J1" s="174"/>
    </row>
    <row r="2" spans="1:10" ht="7.5" customHeight="1">
      <c r="A2" s="75"/>
      <c r="B2" s="76"/>
      <c r="C2" s="76"/>
      <c r="D2" s="76"/>
      <c r="E2" s="76"/>
      <c r="F2" s="76"/>
      <c r="G2" s="76"/>
      <c r="H2" s="76"/>
      <c r="I2" s="76"/>
      <c r="J2" s="76"/>
    </row>
    <row r="3" spans="1:10" ht="27" customHeight="1">
      <c r="A3" s="176" t="s">
        <v>164</v>
      </c>
      <c r="B3" s="176"/>
      <c r="C3" s="176"/>
      <c r="D3" s="176"/>
      <c r="E3" s="176"/>
      <c r="F3" s="176"/>
      <c r="G3" s="176"/>
      <c r="H3" s="176"/>
      <c r="I3" s="176"/>
      <c r="J3" s="176"/>
    </row>
    <row r="4" spans="1:10" ht="16.5" customHeight="1">
      <c r="A4" s="74" t="s">
        <v>130</v>
      </c>
      <c r="B4" s="78" t="s">
        <v>17</v>
      </c>
      <c r="C4" s="79"/>
      <c r="D4" s="78"/>
      <c r="E4" s="78"/>
      <c r="F4" s="74"/>
      <c r="G4" s="78" t="s">
        <v>19</v>
      </c>
      <c r="H4" s="78"/>
      <c r="I4" s="78"/>
      <c r="J4" s="78"/>
    </row>
    <row r="5" spans="1:10" ht="24.75" customHeight="1">
      <c r="A5" s="38" t="s">
        <v>132</v>
      </c>
      <c r="B5" s="49" t="s">
        <v>46</v>
      </c>
      <c r="C5" s="49" t="s">
        <v>52</v>
      </c>
      <c r="D5" s="49" t="s">
        <v>47</v>
      </c>
      <c r="E5" s="49" t="s">
        <v>67</v>
      </c>
      <c r="F5" s="49"/>
      <c r="G5" s="49" t="s">
        <v>46</v>
      </c>
      <c r="H5" s="49" t="s">
        <v>52</v>
      </c>
      <c r="I5" s="49" t="s">
        <v>47</v>
      </c>
      <c r="J5" s="49" t="s">
        <v>67</v>
      </c>
    </row>
    <row r="6" spans="1:10" ht="18.75" customHeight="1">
      <c r="A6" s="50" t="s">
        <v>4</v>
      </c>
      <c r="B6" s="118">
        <f>B7+B10+B16</f>
        <v>208995</v>
      </c>
      <c r="C6" s="118">
        <f>C7+C10+C16</f>
        <v>160928</v>
      </c>
      <c r="D6" s="118">
        <f>D7+D10+D16</f>
        <v>8444</v>
      </c>
      <c r="E6" s="118">
        <f>E7+E10+E16</f>
        <v>13011</v>
      </c>
      <c r="F6" s="118"/>
      <c r="G6" s="118">
        <f>G7+G10+G16</f>
        <v>141592</v>
      </c>
      <c r="H6" s="118">
        <f>H7+H10+H16</f>
        <v>106897</v>
      </c>
      <c r="I6" s="118">
        <f>I7+I10+I16</f>
        <v>4012</v>
      </c>
      <c r="J6" s="118">
        <f>J7+J10+J16</f>
        <v>7760</v>
      </c>
    </row>
    <row r="7" spans="1:10" ht="16.5" customHeight="1">
      <c r="A7" s="50" t="s">
        <v>9</v>
      </c>
      <c r="B7" s="118">
        <f>B8+B9</f>
        <v>3720</v>
      </c>
      <c r="C7" s="118">
        <f>C8+C9</f>
        <v>2128</v>
      </c>
      <c r="D7" s="118">
        <f>D8+D9</f>
        <v>5</v>
      </c>
      <c r="E7" s="118">
        <f>SUM(E8:E9)</f>
        <v>29</v>
      </c>
      <c r="F7" s="119"/>
      <c r="G7" s="118">
        <f>G8+G9</f>
        <v>2210</v>
      </c>
      <c r="H7" s="118">
        <f>H8+H9</f>
        <v>1393</v>
      </c>
      <c r="I7" s="118">
        <f>I8+I9</f>
        <v>9</v>
      </c>
      <c r="J7" s="118">
        <f>J8+J9</f>
        <v>15</v>
      </c>
    </row>
    <row r="8" spans="1:10" ht="12.75" customHeight="1">
      <c r="A8" s="36" t="s">
        <v>39</v>
      </c>
      <c r="B8" s="41">
        <v>445</v>
      </c>
      <c r="C8" s="41">
        <v>213</v>
      </c>
      <c r="D8" s="41">
        <v>1</v>
      </c>
      <c r="E8" s="40" t="s">
        <v>64</v>
      </c>
      <c r="F8" s="62"/>
      <c r="G8" s="41">
        <v>400</v>
      </c>
      <c r="H8" s="41">
        <v>224</v>
      </c>
      <c r="I8" s="41">
        <v>1</v>
      </c>
      <c r="J8" s="41">
        <v>3</v>
      </c>
    </row>
    <row r="9" spans="1:10" ht="12.75">
      <c r="A9" s="36" t="s">
        <v>40</v>
      </c>
      <c r="B9" s="41">
        <v>3275</v>
      </c>
      <c r="C9" s="41">
        <v>1915</v>
      </c>
      <c r="D9" s="41">
        <v>4</v>
      </c>
      <c r="E9" s="41">
        <v>29</v>
      </c>
      <c r="F9" s="62"/>
      <c r="G9" s="41">
        <v>1810</v>
      </c>
      <c r="H9" s="41">
        <v>1169</v>
      </c>
      <c r="I9" s="41">
        <v>8</v>
      </c>
      <c r="J9" s="41">
        <v>12</v>
      </c>
    </row>
    <row r="10" spans="1:10" ht="16.5" customHeight="1">
      <c r="A10" s="72" t="s">
        <v>10</v>
      </c>
      <c r="B10" s="69">
        <f>B11+B12+B13+B14+B15</f>
        <v>37056</v>
      </c>
      <c r="C10" s="69">
        <f>C11+C12+C13+C14+C15</f>
        <v>25308</v>
      </c>
      <c r="D10" s="69">
        <f>D11+D12+D13+D14+D15</f>
        <v>1383</v>
      </c>
      <c r="E10" s="69">
        <f>E11+E12+E13+E14+E15</f>
        <v>1083</v>
      </c>
      <c r="F10" s="114"/>
      <c r="G10" s="69">
        <f>G11+G12+G13+G14+G15</f>
        <v>25410</v>
      </c>
      <c r="H10" s="69">
        <f>H11+H12+H13+H14+H15</f>
        <v>15902</v>
      </c>
      <c r="I10" s="69">
        <f>I11+I12+I13+I14+I15</f>
        <v>864</v>
      </c>
      <c r="J10" s="69">
        <f>J11+J12+J13+J14+J15</f>
        <v>721</v>
      </c>
    </row>
    <row r="11" spans="1:10" ht="12.75">
      <c r="A11" s="34" t="s">
        <v>42</v>
      </c>
      <c r="B11" s="41">
        <f>151+1627</f>
        <v>1778</v>
      </c>
      <c r="C11" s="41">
        <f>62+580</f>
        <v>642</v>
      </c>
      <c r="D11" s="41">
        <v>3</v>
      </c>
      <c r="E11" s="40">
        <v>1</v>
      </c>
      <c r="F11" s="90"/>
      <c r="G11" s="41">
        <f>256+2117</f>
        <v>2373</v>
      </c>
      <c r="H11" s="41">
        <f>79+691</f>
        <v>770</v>
      </c>
      <c r="I11" s="41">
        <v>4</v>
      </c>
      <c r="J11" s="41">
        <v>3</v>
      </c>
    </row>
    <row r="12" spans="1:10" ht="12.75">
      <c r="A12" s="34" t="s">
        <v>150</v>
      </c>
      <c r="B12" s="41">
        <v>1418</v>
      </c>
      <c r="C12" s="41">
        <v>1189</v>
      </c>
      <c r="D12" s="41">
        <v>869</v>
      </c>
      <c r="E12" s="41">
        <v>69</v>
      </c>
      <c r="F12" s="62"/>
      <c r="G12" s="41">
        <v>882</v>
      </c>
      <c r="H12" s="41">
        <v>744</v>
      </c>
      <c r="I12" s="41">
        <v>569</v>
      </c>
      <c r="J12" s="41">
        <v>69</v>
      </c>
    </row>
    <row r="13" spans="1:10" ht="12.75">
      <c r="A13" s="34" t="s">
        <v>39</v>
      </c>
      <c r="B13" s="41">
        <v>6526</v>
      </c>
      <c r="C13" s="41">
        <v>4899</v>
      </c>
      <c r="D13" s="41">
        <v>281</v>
      </c>
      <c r="E13" s="41">
        <v>167</v>
      </c>
      <c r="F13" s="62"/>
      <c r="G13" s="41">
        <v>4216</v>
      </c>
      <c r="H13" s="41">
        <v>3166</v>
      </c>
      <c r="I13" s="41">
        <v>143</v>
      </c>
      <c r="J13" s="41">
        <v>92</v>
      </c>
    </row>
    <row r="14" spans="1:10" ht="12.75">
      <c r="A14" s="34" t="s">
        <v>40</v>
      </c>
      <c r="B14" s="41">
        <v>26188</v>
      </c>
      <c r="C14" s="41">
        <v>17840</v>
      </c>
      <c r="D14" s="41">
        <v>219</v>
      </c>
      <c r="E14" s="41">
        <v>813</v>
      </c>
      <c r="F14" s="62"/>
      <c r="G14" s="41">
        <v>16084</v>
      </c>
      <c r="H14" s="41">
        <v>10110</v>
      </c>
      <c r="I14" s="41">
        <v>140</v>
      </c>
      <c r="J14" s="41">
        <v>500</v>
      </c>
    </row>
    <row r="15" spans="1:10" ht="12.75" customHeight="1">
      <c r="A15" s="34" t="s">
        <v>66</v>
      </c>
      <c r="B15" s="41">
        <f>598+548</f>
        <v>1146</v>
      </c>
      <c r="C15" s="41">
        <f>365+373</f>
        <v>738</v>
      </c>
      <c r="D15" s="41">
        <v>11</v>
      </c>
      <c r="E15" s="41">
        <v>33</v>
      </c>
      <c r="F15" s="62"/>
      <c r="G15" s="41">
        <f>1219+636</f>
        <v>1855</v>
      </c>
      <c r="H15" s="41">
        <f>638+474</f>
        <v>1112</v>
      </c>
      <c r="I15" s="41">
        <v>8</v>
      </c>
      <c r="J15" s="41">
        <v>57</v>
      </c>
    </row>
    <row r="16" spans="1:10" ht="16.5" customHeight="1">
      <c r="A16" s="30" t="s">
        <v>11</v>
      </c>
      <c r="B16" s="69">
        <f>SUM(B17:B22)</f>
        <v>168219</v>
      </c>
      <c r="C16" s="69">
        <f>SUM(C17:C22)</f>
        <v>133492</v>
      </c>
      <c r="D16" s="69">
        <f>SUM(D17:D22)</f>
        <v>7056</v>
      </c>
      <c r="E16" s="69">
        <f>SUM(E17:E22)</f>
        <v>11899</v>
      </c>
      <c r="F16" s="69"/>
      <c r="G16" s="69">
        <f>SUM(G17:G22)</f>
        <v>113972</v>
      </c>
      <c r="H16" s="69">
        <f>SUM(H17:H22)</f>
        <v>89602</v>
      </c>
      <c r="I16" s="69">
        <f>SUM(I17:I22)</f>
        <v>3139</v>
      </c>
      <c r="J16" s="69">
        <f>SUM(J17:J22)</f>
        <v>7024</v>
      </c>
    </row>
    <row r="17" spans="1:10" ht="12.75" customHeight="1">
      <c r="A17" s="34" t="s">
        <v>175</v>
      </c>
      <c r="B17" s="41">
        <v>157542</v>
      </c>
      <c r="C17" s="41">
        <v>124748</v>
      </c>
      <c r="D17" s="41">
        <v>5819</v>
      </c>
      <c r="E17" s="41">
        <v>10254</v>
      </c>
      <c r="F17" s="62"/>
      <c r="G17" s="41">
        <v>104142</v>
      </c>
      <c r="H17" s="41">
        <v>81776</v>
      </c>
      <c r="I17" s="41">
        <v>2188</v>
      </c>
      <c r="J17" s="41">
        <v>5376</v>
      </c>
    </row>
    <row r="18" spans="1:10" ht="12.75" customHeight="1">
      <c r="A18" s="36" t="s">
        <v>44</v>
      </c>
      <c r="B18" s="41">
        <v>107</v>
      </c>
      <c r="C18" s="41">
        <v>40</v>
      </c>
      <c r="D18" s="40">
        <v>2</v>
      </c>
      <c r="E18" s="41">
        <v>3</v>
      </c>
      <c r="F18" s="62"/>
      <c r="G18" s="41">
        <v>67</v>
      </c>
      <c r="H18" s="41">
        <v>33</v>
      </c>
      <c r="I18" s="40">
        <v>2</v>
      </c>
      <c r="J18" s="40">
        <v>1</v>
      </c>
    </row>
    <row r="19" spans="1:10" ht="12.75" customHeight="1">
      <c r="A19" s="34" t="s">
        <v>43</v>
      </c>
      <c r="B19" s="41">
        <v>7425</v>
      </c>
      <c r="C19" s="41">
        <v>6052</v>
      </c>
      <c r="D19" s="41">
        <v>536</v>
      </c>
      <c r="E19" s="41">
        <v>1254</v>
      </c>
      <c r="F19" s="62"/>
      <c r="G19" s="41">
        <v>6691</v>
      </c>
      <c r="H19" s="41">
        <v>5239</v>
      </c>
      <c r="I19" s="41">
        <v>339</v>
      </c>
      <c r="J19" s="41">
        <v>1111</v>
      </c>
    </row>
    <row r="20" spans="1:10" ht="12.75">
      <c r="A20" s="34" t="s">
        <v>39</v>
      </c>
      <c r="B20" s="41">
        <v>1711</v>
      </c>
      <c r="C20" s="41">
        <v>1427</v>
      </c>
      <c r="D20" s="41">
        <v>146</v>
      </c>
      <c r="E20" s="41">
        <v>164</v>
      </c>
      <c r="F20" s="62"/>
      <c r="G20" s="41">
        <v>979</v>
      </c>
      <c r="H20" s="41">
        <v>832</v>
      </c>
      <c r="I20" s="41">
        <v>81</v>
      </c>
      <c r="J20" s="41">
        <v>109</v>
      </c>
    </row>
    <row r="21" spans="1:10" ht="12" customHeight="1">
      <c r="A21" s="34" t="s">
        <v>150</v>
      </c>
      <c r="B21" s="41">
        <v>466</v>
      </c>
      <c r="C21" s="41">
        <v>406</v>
      </c>
      <c r="D21" s="41">
        <v>284</v>
      </c>
      <c r="E21" s="41">
        <v>34</v>
      </c>
      <c r="F21" s="62"/>
      <c r="G21" s="41">
        <v>302</v>
      </c>
      <c r="H21" s="41">
        <v>269</v>
      </c>
      <c r="I21" s="41">
        <v>194</v>
      </c>
      <c r="J21" s="41">
        <v>33</v>
      </c>
    </row>
    <row r="22" spans="1:10" ht="12" customHeight="1">
      <c r="A22" s="35" t="s">
        <v>45</v>
      </c>
      <c r="B22" s="47">
        <v>968</v>
      </c>
      <c r="C22" s="47">
        <v>819</v>
      </c>
      <c r="D22" s="47">
        <v>269</v>
      </c>
      <c r="E22" s="47">
        <v>190</v>
      </c>
      <c r="F22" s="91"/>
      <c r="G22" s="47">
        <v>1791</v>
      </c>
      <c r="H22" s="47">
        <v>1453</v>
      </c>
      <c r="I22" s="47">
        <v>335</v>
      </c>
      <c r="J22" s="47">
        <v>394</v>
      </c>
    </row>
    <row r="23" spans="1:10" ht="24" customHeight="1">
      <c r="A23" s="32"/>
      <c r="B23" s="45"/>
      <c r="C23" s="45"/>
      <c r="D23" s="45"/>
      <c r="E23" s="45"/>
      <c r="F23" s="45"/>
      <c r="G23" s="45"/>
      <c r="H23" s="45"/>
      <c r="I23" s="45"/>
      <c r="J23" s="45"/>
    </row>
    <row r="24" spans="1:10" ht="14.25" customHeight="1">
      <c r="A24" s="177" t="s">
        <v>116</v>
      </c>
      <c r="B24" s="177"/>
      <c r="C24" s="28"/>
      <c r="D24" s="28"/>
      <c r="E24" s="28"/>
      <c r="F24" s="28"/>
      <c r="G24" s="28"/>
      <c r="H24" s="28"/>
      <c r="I24" s="28"/>
      <c r="J24" s="28"/>
    </row>
    <row r="25" spans="1:10" ht="12.75">
      <c r="A25" s="28"/>
      <c r="B25" s="28"/>
      <c r="C25" s="28"/>
      <c r="D25" s="28"/>
      <c r="E25" s="28"/>
      <c r="F25" s="28"/>
      <c r="G25" s="28"/>
      <c r="H25" s="28"/>
      <c r="I25" s="28"/>
      <c r="J25" s="28"/>
    </row>
    <row r="26" spans="1:10" ht="12.75">
      <c r="A26" s="28"/>
      <c r="B26" s="28"/>
      <c r="C26" s="28"/>
      <c r="D26" s="28"/>
      <c r="E26" s="28"/>
      <c r="F26" s="28"/>
      <c r="G26" s="28"/>
      <c r="H26" s="28"/>
      <c r="I26" s="28"/>
      <c r="J26" s="28"/>
    </row>
    <row r="27" spans="1:10" ht="12.75">
      <c r="A27" s="24"/>
      <c r="B27" s="28"/>
      <c r="C27" s="28"/>
      <c r="D27" s="28"/>
      <c r="E27" s="28"/>
      <c r="F27" s="28"/>
      <c r="G27" s="28"/>
      <c r="H27" s="28"/>
      <c r="I27" s="28"/>
      <c r="J27" s="28"/>
    </row>
    <row r="28" spans="1:10" ht="12.75">
      <c r="A28" s="29"/>
      <c r="B28" s="28"/>
      <c r="C28" s="28"/>
      <c r="D28" s="28"/>
      <c r="E28" s="28"/>
      <c r="F28" s="28"/>
      <c r="G28" s="28"/>
      <c r="H28" s="28"/>
      <c r="I28" s="28"/>
      <c r="J28" s="28"/>
    </row>
    <row r="29" spans="1:10" ht="12.75">
      <c r="A29" s="28"/>
      <c r="B29" s="28"/>
      <c r="C29" s="28"/>
      <c r="D29" s="28"/>
      <c r="E29" s="28"/>
      <c r="F29" s="28"/>
      <c r="G29" s="28"/>
      <c r="H29" s="28"/>
      <c r="I29" s="28"/>
      <c r="J29" s="28"/>
    </row>
    <row r="30" spans="1:10" ht="12.75">
      <c r="A30" s="28"/>
      <c r="B30" s="28"/>
      <c r="C30" s="28"/>
      <c r="D30" s="28"/>
      <c r="E30" s="28"/>
      <c r="F30" s="28"/>
      <c r="G30" s="28"/>
      <c r="H30" s="28"/>
      <c r="I30" s="28"/>
      <c r="J30" s="28"/>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30"/>
      <c r="B36" s="28"/>
      <c r="C36" s="28"/>
      <c r="D36" s="28"/>
      <c r="E36" s="28"/>
      <c r="F36" s="28"/>
      <c r="G36" s="28"/>
      <c r="H36" s="28"/>
      <c r="I36" s="28"/>
      <c r="J36" s="28"/>
    </row>
    <row r="37" spans="1:10" ht="12.75">
      <c r="A37" s="31"/>
      <c r="B37" s="28"/>
      <c r="C37" s="28"/>
      <c r="D37" s="28"/>
      <c r="E37" s="28"/>
      <c r="F37" s="28"/>
      <c r="G37" s="28"/>
      <c r="H37" s="28"/>
      <c r="I37" s="28"/>
      <c r="J37" s="28"/>
    </row>
    <row r="38" spans="1:10" ht="12.75">
      <c r="A38" s="31"/>
      <c r="B38" s="28"/>
      <c r="C38" s="28"/>
      <c r="D38" s="28"/>
      <c r="E38" s="28"/>
      <c r="F38" s="28"/>
      <c r="G38" s="28"/>
      <c r="H38" s="28"/>
      <c r="I38" s="28"/>
      <c r="J38" s="28"/>
    </row>
    <row r="39" spans="1:10" ht="12.75">
      <c r="A39" s="24"/>
      <c r="B39" s="28"/>
      <c r="C39" s="28"/>
      <c r="D39" s="28"/>
      <c r="E39" s="28"/>
      <c r="F39" s="28"/>
      <c r="G39" s="28"/>
      <c r="H39" s="28"/>
      <c r="I39" s="28"/>
      <c r="J39" s="28"/>
    </row>
    <row r="40" spans="1:11" ht="12.75">
      <c r="A40" s="28"/>
      <c r="B40" s="39"/>
      <c r="C40" s="39"/>
      <c r="D40" s="39"/>
      <c r="E40" s="39"/>
      <c r="F40" s="39"/>
      <c r="G40" s="39"/>
      <c r="H40" s="39"/>
      <c r="I40" s="39"/>
      <c r="J40" s="39"/>
      <c r="K40" s="6"/>
    </row>
    <row r="41" spans="1:10" ht="12.75" customHeight="1">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row r="44" spans="1:10" ht="12.75">
      <c r="A44" s="28"/>
      <c r="B44" s="28"/>
      <c r="C44" s="28"/>
      <c r="D44" s="28"/>
      <c r="E44" s="28"/>
      <c r="F44" s="28"/>
      <c r="G44" s="28"/>
      <c r="H44" s="28"/>
      <c r="I44" s="28"/>
      <c r="J44" s="28"/>
    </row>
    <row r="45" spans="1:10" ht="12.75">
      <c r="A45" s="29"/>
      <c r="B45" s="28"/>
      <c r="C45" s="28"/>
      <c r="D45" s="28"/>
      <c r="E45" s="28"/>
      <c r="F45" s="28"/>
      <c r="G45" s="28"/>
      <c r="H45" s="28"/>
      <c r="I45" s="28"/>
      <c r="J45" s="28"/>
    </row>
    <row r="46" spans="1:10" ht="12.75">
      <c r="A46" s="50"/>
      <c r="B46" s="28"/>
      <c r="C46" s="28"/>
      <c r="D46" s="28"/>
      <c r="E46" s="28"/>
      <c r="F46" s="28"/>
      <c r="G46" s="28"/>
      <c r="H46" s="28"/>
      <c r="I46" s="28"/>
      <c r="J46" s="28"/>
    </row>
    <row r="47" spans="1:10" ht="12.75">
      <c r="A47" s="28"/>
      <c r="B47" s="28"/>
      <c r="C47" s="28"/>
      <c r="D47" s="28"/>
      <c r="E47" s="28"/>
      <c r="F47" s="28"/>
      <c r="G47" s="28"/>
      <c r="H47" s="28"/>
      <c r="I47" s="28"/>
      <c r="J47" s="28"/>
    </row>
    <row r="48" spans="1:10" ht="12.75">
      <c r="A48" s="28"/>
      <c r="B48" s="28"/>
      <c r="C48" s="28"/>
      <c r="D48" s="28"/>
      <c r="E48" s="28"/>
      <c r="F48" s="28"/>
      <c r="G48" s="28"/>
      <c r="H48" s="28"/>
      <c r="I48" s="28"/>
      <c r="J48" s="28"/>
    </row>
    <row r="49" spans="1:10" ht="12.75">
      <c r="A49" s="28"/>
      <c r="B49" s="28"/>
      <c r="C49" s="28"/>
      <c r="D49" s="28"/>
      <c r="E49" s="28"/>
      <c r="F49" s="28"/>
      <c r="G49" s="28"/>
      <c r="H49" s="28"/>
      <c r="I49" s="28"/>
      <c r="J49" s="28"/>
    </row>
    <row r="50" spans="1:10" ht="12.75">
      <c r="A50" s="28"/>
      <c r="B50" s="28"/>
      <c r="C50" s="28"/>
      <c r="D50" s="28"/>
      <c r="E50" s="28"/>
      <c r="F50" s="28"/>
      <c r="G50" s="28"/>
      <c r="H50" s="28"/>
      <c r="I50" s="28"/>
      <c r="J50" s="28"/>
    </row>
    <row r="51" spans="1:10" ht="12.75">
      <c r="A51" s="28"/>
      <c r="B51" s="28"/>
      <c r="C51" s="28"/>
      <c r="D51" s="28"/>
      <c r="E51" s="28"/>
      <c r="F51" s="28"/>
      <c r="G51" s="28"/>
      <c r="H51" s="28"/>
      <c r="I51" s="28"/>
      <c r="J51" s="28"/>
    </row>
    <row r="52" spans="1:10" ht="12.75">
      <c r="A52" s="28"/>
      <c r="B52" s="28"/>
      <c r="C52" s="28"/>
      <c r="D52" s="28"/>
      <c r="E52" s="28"/>
      <c r="F52" s="28"/>
      <c r="G52" s="28"/>
      <c r="H52" s="28"/>
      <c r="I52" s="28"/>
      <c r="J52" s="28"/>
    </row>
  </sheetData>
  <sheetProtection/>
  <mergeCells count="3">
    <mergeCell ref="A1:J1"/>
    <mergeCell ref="A3:J3"/>
    <mergeCell ref="A24:B24"/>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5.xml><?xml version="1.0" encoding="utf-8"?>
<worksheet xmlns="http://schemas.openxmlformats.org/spreadsheetml/2006/main" xmlns:r="http://schemas.openxmlformats.org/officeDocument/2006/relationships">
  <dimension ref="A1:J43"/>
  <sheetViews>
    <sheetView zoomScalePageLayoutView="0" workbookViewId="0" topLeftCell="A1">
      <selection activeCell="D34" sqref="D34:D35"/>
    </sheetView>
  </sheetViews>
  <sheetFormatPr defaultColWidth="9.140625" defaultRowHeight="12.75"/>
  <cols>
    <col min="1" max="1" width="21.421875" style="0" customWidth="1"/>
    <col min="3" max="5" width="7.28125" style="0" customWidth="1"/>
    <col min="6" max="6" width="1.7109375" style="0" customWidth="1"/>
    <col min="7" max="9" width="7.28125" style="0" customWidth="1"/>
    <col min="10" max="10" width="8.00390625" style="0" customWidth="1"/>
  </cols>
  <sheetData>
    <row r="1" spans="1:10" ht="27" customHeight="1">
      <c r="A1" s="173" t="s">
        <v>165</v>
      </c>
      <c r="B1" s="174"/>
      <c r="C1" s="174"/>
      <c r="D1" s="174"/>
      <c r="E1" s="174"/>
      <c r="F1" s="174"/>
      <c r="G1" s="174"/>
      <c r="H1" s="174"/>
      <c r="I1" s="174"/>
      <c r="J1" s="174"/>
    </row>
    <row r="2" spans="1:10" ht="7.5" customHeight="1">
      <c r="A2" s="75"/>
      <c r="B2" s="76"/>
      <c r="C2" s="76"/>
      <c r="D2" s="76"/>
      <c r="E2" s="76"/>
      <c r="F2" s="76"/>
      <c r="G2" s="76"/>
      <c r="H2" s="76"/>
      <c r="I2" s="76"/>
      <c r="J2" s="76"/>
    </row>
    <row r="3" spans="1:10" ht="25.5" customHeight="1">
      <c r="A3" s="168" t="s">
        <v>166</v>
      </c>
      <c r="B3" s="168"/>
      <c r="C3" s="168"/>
      <c r="D3" s="168"/>
      <c r="E3" s="168"/>
      <c r="F3" s="168"/>
      <c r="G3" s="168"/>
      <c r="H3" s="168"/>
      <c r="I3" s="168"/>
      <c r="J3" s="168"/>
    </row>
    <row r="4" spans="1:10" ht="16.5" customHeight="1">
      <c r="A4" s="25" t="s">
        <v>130</v>
      </c>
      <c r="B4" s="78" t="s">
        <v>17</v>
      </c>
      <c r="C4" s="79"/>
      <c r="D4" s="78"/>
      <c r="E4" s="78"/>
      <c r="F4" s="25"/>
      <c r="G4" s="78" t="s">
        <v>19</v>
      </c>
      <c r="H4" s="78"/>
      <c r="I4" s="78"/>
      <c r="J4" s="78"/>
    </row>
    <row r="5" spans="1:10" ht="24.75" customHeight="1">
      <c r="A5" s="38" t="s">
        <v>132</v>
      </c>
      <c r="B5" s="49" t="s">
        <v>46</v>
      </c>
      <c r="C5" s="49" t="s">
        <v>52</v>
      </c>
      <c r="D5" s="49" t="s">
        <v>47</v>
      </c>
      <c r="E5" s="49" t="s">
        <v>67</v>
      </c>
      <c r="F5" s="49"/>
      <c r="G5" s="49" t="s">
        <v>46</v>
      </c>
      <c r="H5" s="49" t="s">
        <v>52</v>
      </c>
      <c r="I5" s="49" t="s">
        <v>47</v>
      </c>
      <c r="J5" s="49" t="s">
        <v>67</v>
      </c>
    </row>
    <row r="6" spans="1:10" ht="18.75" customHeight="1">
      <c r="A6" s="50" t="s">
        <v>57</v>
      </c>
      <c r="B6" s="118">
        <f>B7+B10+B14</f>
        <v>26974</v>
      </c>
      <c r="C6" s="118">
        <f>C7+C10+C14</f>
        <v>11742</v>
      </c>
      <c r="D6" s="118">
        <f>D7+D10+D14</f>
        <v>166</v>
      </c>
      <c r="E6" s="118">
        <f>E7+E10+E14</f>
        <v>1260</v>
      </c>
      <c r="F6" s="119"/>
      <c r="G6" s="118">
        <f>G7+G10+G14</f>
        <v>9395</v>
      </c>
      <c r="H6" s="118">
        <f>H7+H10+H14</f>
        <v>5410</v>
      </c>
      <c r="I6" s="118">
        <f>I7+I10+I14</f>
        <v>73</v>
      </c>
      <c r="J6" s="118">
        <f>J7+J10+J14</f>
        <v>546</v>
      </c>
    </row>
    <row r="7" spans="1:10" ht="18.75" customHeight="1">
      <c r="A7" s="50" t="s">
        <v>9</v>
      </c>
      <c r="B7" s="118">
        <f>B8+B9</f>
        <v>8498</v>
      </c>
      <c r="C7" s="118">
        <f>C8+C9</f>
        <v>2446</v>
      </c>
      <c r="D7" s="118">
        <f>D8+D9</f>
        <v>15</v>
      </c>
      <c r="E7" s="118">
        <f>E8+E9</f>
        <v>108</v>
      </c>
      <c r="F7" s="119"/>
      <c r="G7" s="118">
        <f>G8+G9</f>
        <v>3215</v>
      </c>
      <c r="H7" s="118">
        <f>H8+H9</f>
        <v>1349</v>
      </c>
      <c r="I7" s="118">
        <f>I8+I9</f>
        <v>11</v>
      </c>
      <c r="J7" s="118">
        <f>J8+J9</f>
        <v>54</v>
      </c>
    </row>
    <row r="8" spans="1:10" ht="12.75" customHeight="1">
      <c r="A8" s="36" t="s">
        <v>39</v>
      </c>
      <c r="B8" s="41">
        <v>893</v>
      </c>
      <c r="C8" s="41">
        <v>190</v>
      </c>
      <c r="D8" s="41">
        <v>7</v>
      </c>
      <c r="E8" s="41">
        <v>9</v>
      </c>
      <c r="F8" s="62"/>
      <c r="G8" s="41">
        <v>396</v>
      </c>
      <c r="H8" s="41">
        <v>162</v>
      </c>
      <c r="I8" s="41">
        <v>3</v>
      </c>
      <c r="J8" s="41">
        <v>3</v>
      </c>
    </row>
    <row r="9" spans="1:10" ht="12.75">
      <c r="A9" s="36" t="s">
        <v>40</v>
      </c>
      <c r="B9" s="41">
        <v>7605</v>
      </c>
      <c r="C9" s="41">
        <v>2256</v>
      </c>
      <c r="D9" s="41">
        <v>8</v>
      </c>
      <c r="E9" s="41">
        <v>99</v>
      </c>
      <c r="F9" s="62"/>
      <c r="G9" s="41">
        <v>2819</v>
      </c>
      <c r="H9" s="41">
        <v>1187</v>
      </c>
      <c r="I9" s="41">
        <v>8</v>
      </c>
      <c r="J9" s="41">
        <v>51</v>
      </c>
    </row>
    <row r="10" spans="1:10" ht="16.5" customHeight="1">
      <c r="A10" s="72" t="s">
        <v>10</v>
      </c>
      <c r="B10" s="69">
        <f>SUM(B11:B13)</f>
        <v>17399</v>
      </c>
      <c r="C10" s="69">
        <f>SUM(C11:C13)</f>
        <v>8849</v>
      </c>
      <c r="D10" s="69">
        <f>SUM(D11:D13)</f>
        <v>109</v>
      </c>
      <c r="E10" s="69">
        <f>SUM(E11:E13)</f>
        <v>1014</v>
      </c>
      <c r="F10" s="114"/>
      <c r="G10" s="69">
        <f>SUM(G11:G13)</f>
        <v>6004</v>
      </c>
      <c r="H10" s="69">
        <f>SUM(H11:H13)</f>
        <v>3924</v>
      </c>
      <c r="I10" s="69">
        <f>SUM(I11:I13)</f>
        <v>50</v>
      </c>
      <c r="J10" s="69">
        <f>SUM(J11:J13)</f>
        <v>431</v>
      </c>
    </row>
    <row r="11" spans="1:10" ht="12.75">
      <c r="A11" s="34" t="s">
        <v>42</v>
      </c>
      <c r="B11" s="41">
        <v>44</v>
      </c>
      <c r="C11" s="41">
        <v>22</v>
      </c>
      <c r="D11" s="40" t="s">
        <v>64</v>
      </c>
      <c r="E11" s="40">
        <v>1</v>
      </c>
      <c r="F11" s="90"/>
      <c r="G11" s="41">
        <v>15</v>
      </c>
      <c r="H11" s="41">
        <v>11</v>
      </c>
      <c r="I11" s="40" t="s">
        <v>64</v>
      </c>
      <c r="J11" s="40" t="s">
        <v>64</v>
      </c>
    </row>
    <row r="12" spans="1:10" ht="12.75">
      <c r="A12" s="34" t="s">
        <v>39</v>
      </c>
      <c r="B12" s="41">
        <v>1735</v>
      </c>
      <c r="C12" s="41">
        <v>986</v>
      </c>
      <c r="D12" s="41">
        <v>44</v>
      </c>
      <c r="E12" s="41">
        <v>124</v>
      </c>
      <c r="F12" s="62"/>
      <c r="G12" s="41">
        <v>918</v>
      </c>
      <c r="H12" s="41">
        <v>663</v>
      </c>
      <c r="I12" s="41">
        <v>30</v>
      </c>
      <c r="J12" s="41">
        <v>63</v>
      </c>
    </row>
    <row r="13" spans="1:10" ht="12.75">
      <c r="A13" s="34" t="s">
        <v>40</v>
      </c>
      <c r="B13" s="41">
        <v>15620</v>
      </c>
      <c r="C13" s="41">
        <v>7841</v>
      </c>
      <c r="D13" s="41">
        <v>65</v>
      </c>
      <c r="E13" s="41">
        <v>889</v>
      </c>
      <c r="F13" s="62"/>
      <c r="G13" s="41">
        <v>5071</v>
      </c>
      <c r="H13" s="41">
        <v>3250</v>
      </c>
      <c r="I13" s="41">
        <v>20</v>
      </c>
      <c r="J13" s="41">
        <v>368</v>
      </c>
    </row>
    <row r="14" spans="1:10" ht="16.5" customHeight="1">
      <c r="A14" s="30" t="s">
        <v>11</v>
      </c>
      <c r="B14" s="69">
        <f>SUM(B15:B16)</f>
        <v>1077</v>
      </c>
      <c r="C14" s="69">
        <f>SUM(C15:C16)</f>
        <v>447</v>
      </c>
      <c r="D14" s="69">
        <f>SUM(D15:D16)</f>
        <v>42</v>
      </c>
      <c r="E14" s="69">
        <f>SUM(E15:E16)</f>
        <v>138</v>
      </c>
      <c r="F14" s="114"/>
      <c r="G14" s="69">
        <f>SUM(G15:G16)</f>
        <v>176</v>
      </c>
      <c r="H14" s="69">
        <f>SUM(H15:H16)</f>
        <v>137</v>
      </c>
      <c r="I14" s="69">
        <f>SUM(I15:I16)</f>
        <v>12</v>
      </c>
      <c r="J14" s="69">
        <f>SUM(J15:J16)</f>
        <v>61</v>
      </c>
    </row>
    <row r="15" spans="1:10" ht="12" customHeight="1">
      <c r="A15" s="34" t="s">
        <v>175</v>
      </c>
      <c r="B15" s="41">
        <v>1069</v>
      </c>
      <c r="C15" s="41">
        <v>443</v>
      </c>
      <c r="D15" s="41">
        <v>41</v>
      </c>
      <c r="E15" s="41">
        <v>138</v>
      </c>
      <c r="F15" s="62"/>
      <c r="G15" s="41">
        <v>172</v>
      </c>
      <c r="H15" s="41">
        <v>133</v>
      </c>
      <c r="I15" s="41">
        <v>12</v>
      </c>
      <c r="J15" s="41">
        <v>60</v>
      </c>
    </row>
    <row r="16" spans="1:10" ht="12.75">
      <c r="A16" s="35" t="s">
        <v>45</v>
      </c>
      <c r="B16" s="47">
        <v>8</v>
      </c>
      <c r="C16" s="47">
        <v>4</v>
      </c>
      <c r="D16" s="46">
        <v>1</v>
      </c>
      <c r="E16" s="46" t="s">
        <v>64</v>
      </c>
      <c r="F16" s="91"/>
      <c r="G16" s="47">
        <v>4</v>
      </c>
      <c r="H16" s="47">
        <v>4</v>
      </c>
      <c r="I16" s="46" t="s">
        <v>64</v>
      </c>
      <c r="J16" s="47">
        <v>1</v>
      </c>
    </row>
    <row r="17" spans="1:10" ht="24" customHeight="1">
      <c r="A17" s="28"/>
      <c r="B17" s="28"/>
      <c r="C17" s="28"/>
      <c r="D17" s="28"/>
      <c r="E17" s="28"/>
      <c r="F17" s="28"/>
      <c r="G17" s="28"/>
      <c r="H17" s="28"/>
      <c r="I17" s="28"/>
      <c r="J17" s="28"/>
    </row>
    <row r="18" spans="1:10" ht="12.75">
      <c r="A18" s="28"/>
      <c r="B18" s="28"/>
      <c r="C18" s="28"/>
      <c r="D18" s="28"/>
      <c r="E18" s="28"/>
      <c r="F18" s="28"/>
      <c r="G18" s="28"/>
      <c r="H18" s="28"/>
      <c r="I18" s="28"/>
      <c r="J18" s="28"/>
    </row>
    <row r="19" spans="1:10" ht="12.75">
      <c r="A19" s="116"/>
      <c r="B19" s="28"/>
      <c r="C19" s="28"/>
      <c r="D19" s="28"/>
      <c r="E19" s="28"/>
      <c r="F19" s="28"/>
      <c r="G19" s="28"/>
      <c r="H19" s="28"/>
      <c r="I19" s="28"/>
      <c r="J19" s="28"/>
    </row>
    <row r="20" spans="1:10" ht="12.75">
      <c r="A20" s="29"/>
      <c r="B20" s="28"/>
      <c r="C20" s="28"/>
      <c r="D20" s="28"/>
      <c r="E20" s="28"/>
      <c r="F20" s="28"/>
      <c r="G20" s="28"/>
      <c r="H20" s="28"/>
      <c r="I20" s="28"/>
      <c r="J20" s="28"/>
    </row>
    <row r="21" spans="1:10" ht="12.75">
      <c r="A21" s="30"/>
      <c r="B21" s="28"/>
      <c r="C21" s="28"/>
      <c r="D21" s="28"/>
      <c r="E21" s="28"/>
      <c r="F21" s="28"/>
      <c r="G21" s="28"/>
      <c r="H21" s="28"/>
      <c r="I21" s="28"/>
      <c r="J21" s="28"/>
    </row>
    <row r="22" spans="1:10" ht="12.75">
      <c r="A22" s="24"/>
      <c r="B22" s="28"/>
      <c r="C22" s="28"/>
      <c r="D22" s="28"/>
      <c r="E22" s="28"/>
      <c r="F22" s="28"/>
      <c r="G22" s="28"/>
      <c r="H22" s="28"/>
      <c r="I22" s="28"/>
      <c r="J22" s="28"/>
    </row>
    <row r="23" spans="1:10" ht="12.75">
      <c r="A23" s="24"/>
      <c r="B23" s="28"/>
      <c r="C23" s="28"/>
      <c r="D23" s="28"/>
      <c r="E23" s="28"/>
      <c r="F23" s="28"/>
      <c r="G23" s="28"/>
      <c r="H23" s="28"/>
      <c r="I23" s="28"/>
      <c r="J23" s="28"/>
    </row>
    <row r="24" spans="1:10" ht="12.75">
      <c r="A24" s="29"/>
      <c r="B24" s="28"/>
      <c r="C24" s="28"/>
      <c r="D24" s="28"/>
      <c r="E24" s="28"/>
      <c r="F24" s="28"/>
      <c r="G24" s="28"/>
      <c r="H24" s="28"/>
      <c r="I24" s="28"/>
      <c r="J24" s="28"/>
    </row>
    <row r="25" spans="1:10" ht="12.75">
      <c r="A25" s="50"/>
      <c r="B25" s="39"/>
      <c r="C25" s="39"/>
      <c r="D25" s="39"/>
      <c r="E25" s="39"/>
      <c r="F25" s="39"/>
      <c r="G25" s="39"/>
      <c r="H25" s="39"/>
      <c r="I25" s="39"/>
      <c r="J25" s="39"/>
    </row>
    <row r="26" spans="1:10" ht="12.75">
      <c r="A26" s="28"/>
      <c r="B26" s="28"/>
      <c r="C26" s="28"/>
      <c r="D26" s="28"/>
      <c r="E26" s="28"/>
      <c r="F26" s="28"/>
      <c r="G26" s="28"/>
      <c r="H26" s="28"/>
      <c r="I26" s="28"/>
      <c r="J26" s="28"/>
    </row>
    <row r="27" spans="1:10" ht="12.75">
      <c r="A27" s="28"/>
      <c r="B27" s="28"/>
      <c r="C27" s="28"/>
      <c r="D27" s="28"/>
      <c r="E27" s="28"/>
      <c r="F27" s="28"/>
      <c r="G27" s="28"/>
      <c r="H27" s="28"/>
      <c r="I27" s="28"/>
      <c r="J27" s="28"/>
    </row>
    <row r="28" spans="1:10" ht="12.75">
      <c r="A28" s="28"/>
      <c r="B28" s="28"/>
      <c r="C28" s="28"/>
      <c r="D28" s="28"/>
      <c r="E28" s="28"/>
      <c r="F28" s="28"/>
      <c r="G28" s="28"/>
      <c r="H28" s="28"/>
      <c r="I28" s="28"/>
      <c r="J28" s="28"/>
    </row>
    <row r="29" spans="1:10" ht="12.75">
      <c r="A29" s="28"/>
      <c r="B29" s="28"/>
      <c r="C29" s="28"/>
      <c r="D29" s="28"/>
      <c r="E29" s="28"/>
      <c r="F29" s="28"/>
      <c r="G29" s="28"/>
      <c r="H29" s="28"/>
      <c r="I29" s="28"/>
      <c r="J29" s="28"/>
    </row>
    <row r="30" spans="1:10" ht="12.75">
      <c r="A30" s="29"/>
      <c r="B30" s="28"/>
      <c r="C30" s="28"/>
      <c r="D30" s="28"/>
      <c r="E30" s="28"/>
      <c r="F30" s="28"/>
      <c r="G30" s="28"/>
      <c r="H30" s="28"/>
      <c r="I30" s="28"/>
      <c r="J30" s="28"/>
    </row>
    <row r="31" spans="1:10" ht="12.75">
      <c r="A31" s="50"/>
      <c r="B31" s="39"/>
      <c r="C31" s="39"/>
      <c r="D31" s="39"/>
      <c r="E31" s="39"/>
      <c r="F31" s="39"/>
      <c r="G31" s="39"/>
      <c r="H31" s="39"/>
      <c r="I31" s="39"/>
      <c r="J31" s="39"/>
    </row>
    <row r="32" spans="1:10" ht="12" customHeight="1">
      <c r="A32" s="24"/>
      <c r="B32" s="28"/>
      <c r="C32" s="28"/>
      <c r="D32" s="28"/>
      <c r="E32" s="28"/>
      <c r="F32" s="28"/>
      <c r="G32" s="28"/>
      <c r="H32" s="28"/>
      <c r="I32" s="28"/>
      <c r="J32" s="28"/>
    </row>
    <row r="33" spans="1:10" ht="12.75">
      <c r="A33" s="28"/>
      <c r="B33" s="28"/>
      <c r="C33" s="28"/>
      <c r="D33" s="28"/>
      <c r="E33" s="28"/>
      <c r="F33" s="28"/>
      <c r="G33" s="28"/>
      <c r="H33" s="28"/>
      <c r="I33" s="28"/>
      <c r="J33" s="28"/>
    </row>
    <row r="34" spans="1:10" ht="12.75">
      <c r="A34" s="28"/>
      <c r="B34" s="28"/>
      <c r="C34" s="28"/>
      <c r="D34" s="28"/>
      <c r="E34" s="28"/>
      <c r="F34" s="28"/>
      <c r="G34" s="28"/>
      <c r="H34" s="28"/>
      <c r="I34" s="28"/>
      <c r="J34" s="28"/>
    </row>
    <row r="35" spans="1:10" ht="12.75">
      <c r="A35" s="28"/>
      <c r="B35" s="28"/>
      <c r="C35" s="28"/>
      <c r="D35" s="28"/>
      <c r="E35" s="28"/>
      <c r="F35" s="28"/>
      <c r="G35" s="28"/>
      <c r="H35" s="28"/>
      <c r="I35" s="28"/>
      <c r="J35" s="28"/>
    </row>
    <row r="36" spans="1:10" ht="12.75">
      <c r="A36" s="28"/>
      <c r="B36" s="28"/>
      <c r="C36" s="28"/>
      <c r="D36" s="28"/>
      <c r="E36" s="28"/>
      <c r="F36" s="28"/>
      <c r="G36" s="28"/>
      <c r="H36" s="28"/>
      <c r="I36" s="28"/>
      <c r="J36" s="28"/>
    </row>
    <row r="37" spans="1:10" ht="12.75">
      <c r="A37" s="28"/>
      <c r="B37" s="28"/>
      <c r="C37" s="28"/>
      <c r="D37" s="28"/>
      <c r="E37" s="28"/>
      <c r="F37" s="28"/>
      <c r="G37" s="28"/>
      <c r="H37" s="28"/>
      <c r="I37" s="28"/>
      <c r="J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1:10" ht="12.75">
      <c r="A40" s="28"/>
      <c r="B40" s="28"/>
      <c r="C40" s="28"/>
      <c r="D40" s="28"/>
      <c r="E40" s="28"/>
      <c r="F40" s="28"/>
      <c r="G40" s="28"/>
      <c r="H40" s="28"/>
      <c r="I40" s="28"/>
      <c r="J40" s="28"/>
    </row>
    <row r="41" spans="1:10" ht="12.75">
      <c r="A41" s="28"/>
      <c r="B41" s="28"/>
      <c r="C41" s="28"/>
      <c r="D41" s="28"/>
      <c r="E41" s="28"/>
      <c r="F41" s="28"/>
      <c r="G41" s="28"/>
      <c r="H41" s="28"/>
      <c r="I41" s="28"/>
      <c r="J41" s="28"/>
    </row>
    <row r="42" spans="1:10" ht="12.75">
      <c r="A42" s="28"/>
      <c r="B42" s="28"/>
      <c r="C42" s="28"/>
      <c r="D42" s="28"/>
      <c r="E42" s="28"/>
      <c r="F42" s="28"/>
      <c r="G42" s="28"/>
      <c r="H42" s="28"/>
      <c r="I42" s="28"/>
      <c r="J42" s="28"/>
    </row>
    <row r="43" spans="1:10" ht="12.75">
      <c r="A43" s="28"/>
      <c r="B43" s="28"/>
      <c r="C43" s="28"/>
      <c r="D43" s="28"/>
      <c r="E43" s="28"/>
      <c r="F43" s="28"/>
      <c r="G43" s="28"/>
      <c r="H43" s="28"/>
      <c r="I43" s="28"/>
      <c r="J43" s="28"/>
    </row>
  </sheetData>
  <sheetProtection/>
  <mergeCells count="2">
    <mergeCell ref="A1:J1"/>
    <mergeCell ref="A3:J3"/>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
      <selection activeCell="D34" sqref="D34:D35"/>
    </sheetView>
  </sheetViews>
  <sheetFormatPr defaultColWidth="9.140625" defaultRowHeight="12.75"/>
  <cols>
    <col min="1" max="1" width="21.421875" style="0" customWidth="1"/>
    <col min="2" max="2" width="8.28125" style="0" customWidth="1"/>
    <col min="3" max="3" width="1.57421875" style="0" customWidth="1"/>
    <col min="4" max="5" width="8.28125" style="0" customWidth="1"/>
    <col min="6" max="6" width="9.28125" style="0" customWidth="1"/>
    <col min="7" max="7" width="1.7109375" style="0" customWidth="1"/>
    <col min="8" max="11" width="8.28125" style="0" customWidth="1"/>
  </cols>
  <sheetData>
    <row r="1" spans="1:11" ht="27.75" customHeight="1">
      <c r="A1" s="173" t="s">
        <v>209</v>
      </c>
      <c r="B1" s="174"/>
      <c r="C1" s="174"/>
      <c r="D1" s="174"/>
      <c r="E1" s="174"/>
      <c r="F1" s="174"/>
      <c r="G1" s="174"/>
      <c r="H1" s="174"/>
      <c r="I1" s="174"/>
      <c r="J1" s="174"/>
      <c r="K1" s="174"/>
    </row>
    <row r="2" spans="1:11" ht="7.5" customHeight="1">
      <c r="A2" s="75"/>
      <c r="B2" s="76"/>
      <c r="C2" s="76"/>
      <c r="D2" s="76"/>
      <c r="E2" s="76"/>
      <c r="F2" s="76"/>
      <c r="G2" s="76"/>
      <c r="H2" s="76"/>
      <c r="I2" s="76"/>
      <c r="J2" s="76"/>
      <c r="K2" s="76"/>
    </row>
    <row r="3" spans="1:11" ht="25.5" customHeight="1">
      <c r="A3" s="176" t="s">
        <v>170</v>
      </c>
      <c r="B3" s="176"/>
      <c r="C3" s="176"/>
      <c r="D3" s="176"/>
      <c r="E3" s="176"/>
      <c r="F3" s="176"/>
      <c r="G3" s="176"/>
      <c r="H3" s="176"/>
      <c r="I3" s="176"/>
      <c r="J3" s="176"/>
      <c r="K3" s="176"/>
    </row>
    <row r="4" spans="1:11" ht="18.75" customHeight="1">
      <c r="A4" s="74" t="s">
        <v>133</v>
      </c>
      <c r="B4" s="178" t="s">
        <v>68</v>
      </c>
      <c r="C4" s="178"/>
      <c r="D4" s="178"/>
      <c r="E4" s="178"/>
      <c r="F4" s="178"/>
      <c r="G4" s="60"/>
      <c r="H4" s="178" t="s">
        <v>11</v>
      </c>
      <c r="I4" s="178"/>
      <c r="J4" s="178"/>
      <c r="K4" s="178"/>
    </row>
    <row r="5" spans="1:11" ht="51" customHeight="1">
      <c r="A5" s="38" t="s">
        <v>134</v>
      </c>
      <c r="B5" s="10" t="s">
        <v>140</v>
      </c>
      <c r="C5" s="97" t="s">
        <v>139</v>
      </c>
      <c r="D5" s="10" t="s">
        <v>29</v>
      </c>
      <c r="E5" s="10" t="s">
        <v>13</v>
      </c>
      <c r="F5" s="10" t="s">
        <v>59</v>
      </c>
      <c r="G5" s="10"/>
      <c r="H5" s="10" t="s">
        <v>63</v>
      </c>
      <c r="I5" s="10" t="s">
        <v>14</v>
      </c>
      <c r="J5" s="10" t="s">
        <v>76</v>
      </c>
      <c r="K5" s="10" t="s">
        <v>55</v>
      </c>
    </row>
    <row r="6" spans="1:11" ht="16.5" customHeight="1">
      <c r="A6" s="29" t="s">
        <v>15</v>
      </c>
      <c r="B6" s="115">
        <f>B8+B7</f>
        <v>9259</v>
      </c>
      <c r="C6" s="115"/>
      <c r="D6" s="115">
        <f aca="true" t="shared" si="0" ref="D6:K6">D8+D7</f>
        <v>14191</v>
      </c>
      <c r="E6" s="115">
        <f t="shared" si="0"/>
        <v>56864</v>
      </c>
      <c r="F6" s="115">
        <f t="shared" si="0"/>
        <v>80314</v>
      </c>
      <c r="G6" s="115"/>
      <c r="H6" s="115">
        <f t="shared" si="0"/>
        <v>253721</v>
      </c>
      <c r="I6" s="115">
        <f t="shared" si="0"/>
        <v>147</v>
      </c>
      <c r="J6" s="115">
        <f t="shared" si="0"/>
        <v>22222</v>
      </c>
      <c r="K6" s="115">
        <f t="shared" si="0"/>
        <v>276090</v>
      </c>
    </row>
    <row r="7" spans="1:11" ht="12.75">
      <c r="A7" s="34" t="s">
        <v>17</v>
      </c>
      <c r="B7" s="4">
        <v>4275</v>
      </c>
      <c r="C7" s="92"/>
      <c r="D7" s="4">
        <v>8755</v>
      </c>
      <c r="E7" s="4">
        <v>37636</v>
      </c>
      <c r="F7" s="4">
        <f>B7+D7+E7</f>
        <v>50666</v>
      </c>
      <c r="G7" s="4"/>
      <c r="H7" s="4">
        <v>152127</v>
      </c>
      <c r="I7" s="4">
        <v>87</v>
      </c>
      <c r="J7" s="4">
        <v>11632</v>
      </c>
      <c r="K7" s="4">
        <f>H7+I7+J7</f>
        <v>163846</v>
      </c>
    </row>
    <row r="8" spans="1:11" ht="12.75">
      <c r="A8" s="34" t="s">
        <v>19</v>
      </c>
      <c r="B8" s="4">
        <v>4984</v>
      </c>
      <c r="C8" s="92"/>
      <c r="D8" s="4">
        <v>5436</v>
      </c>
      <c r="E8" s="4">
        <v>19228</v>
      </c>
      <c r="F8" s="4">
        <f>B8+D8+E8</f>
        <v>29648</v>
      </c>
      <c r="G8" s="4"/>
      <c r="H8" s="4">
        <v>101594</v>
      </c>
      <c r="I8" s="4">
        <v>60</v>
      </c>
      <c r="J8" s="4">
        <v>10590</v>
      </c>
      <c r="K8" s="4">
        <f>H8+I8+J8</f>
        <v>112244</v>
      </c>
    </row>
    <row r="9" spans="1:11" ht="27" customHeight="1">
      <c r="A9" s="52" t="s">
        <v>49</v>
      </c>
      <c r="B9" s="4">
        <f>B10+B11</f>
        <v>4135</v>
      </c>
      <c r="C9" s="4"/>
      <c r="D9" s="4">
        <f>D10+D11</f>
        <v>4355</v>
      </c>
      <c r="E9" s="4">
        <f>E10+E11</f>
        <v>21021</v>
      </c>
      <c r="F9" s="4">
        <f>F10+F11</f>
        <v>29511</v>
      </c>
      <c r="G9" s="4"/>
      <c r="H9" s="4">
        <f>H10+H11</f>
        <v>51102</v>
      </c>
      <c r="I9" s="4">
        <f>I10+I11</f>
        <v>86</v>
      </c>
      <c r="J9" s="4">
        <f>J10+J11</f>
        <v>4147</v>
      </c>
      <c r="K9" s="4">
        <f>K10+K11</f>
        <v>55335</v>
      </c>
    </row>
    <row r="10" spans="1:11" ht="12.75">
      <c r="A10" s="34" t="s">
        <v>17</v>
      </c>
      <c r="B10" s="4">
        <f>B7-2543</f>
        <v>1732</v>
      </c>
      <c r="C10" s="92"/>
      <c r="D10" s="4">
        <f>D7-5897</f>
        <v>2858</v>
      </c>
      <c r="E10" s="4">
        <f>E7-23303</f>
        <v>14333</v>
      </c>
      <c r="F10" s="4">
        <f>B10+D10+E10</f>
        <v>18923</v>
      </c>
      <c r="G10" s="4"/>
      <c r="H10" s="4">
        <f>H7-122244</f>
        <v>29883</v>
      </c>
      <c r="I10" s="4">
        <f>I7-30</f>
        <v>57</v>
      </c>
      <c r="J10" s="4">
        <f>J7-9588</f>
        <v>2044</v>
      </c>
      <c r="K10" s="4">
        <f>H10+I10+J10</f>
        <v>31984</v>
      </c>
    </row>
    <row r="11" spans="1:11" ht="12.75">
      <c r="A11" s="34" t="s">
        <v>19</v>
      </c>
      <c r="B11" s="4">
        <f>B8-2581</f>
        <v>2403</v>
      </c>
      <c r="C11" s="92"/>
      <c r="D11" s="4">
        <f>D8-3939</f>
        <v>1497</v>
      </c>
      <c r="E11" s="4">
        <f>E8-12540</f>
        <v>6688</v>
      </c>
      <c r="F11" s="4">
        <f>B11+D11+E11</f>
        <v>10588</v>
      </c>
      <c r="G11" s="4"/>
      <c r="H11" s="4">
        <f>H8-80375</f>
        <v>21219</v>
      </c>
      <c r="I11" s="4">
        <f>I8-31</f>
        <v>29</v>
      </c>
      <c r="J11" s="4">
        <f>J8-8487</f>
        <v>2103</v>
      </c>
      <c r="K11" s="4">
        <f>H11+I11+J11</f>
        <v>23351</v>
      </c>
    </row>
    <row r="12" spans="1:11" ht="18.75" customHeight="1">
      <c r="A12" s="29" t="s">
        <v>18</v>
      </c>
      <c r="B12" s="115">
        <f>B14+B13</f>
        <v>429</v>
      </c>
      <c r="C12" s="115"/>
      <c r="D12" s="115">
        <f aca="true" t="shared" si="1" ref="D12:K12">D14+D13</f>
        <v>660</v>
      </c>
      <c r="E12" s="115">
        <f t="shared" si="1"/>
        <v>22325</v>
      </c>
      <c r="F12" s="115">
        <f t="shared" si="1"/>
        <v>23414</v>
      </c>
      <c r="G12" s="115"/>
      <c r="H12" s="115">
        <f t="shared" si="1"/>
        <v>20176</v>
      </c>
      <c r="I12" s="115">
        <f t="shared" si="1"/>
        <v>38</v>
      </c>
      <c r="J12" s="115">
        <f t="shared" si="1"/>
        <v>373</v>
      </c>
      <c r="K12" s="115">
        <f t="shared" si="1"/>
        <v>20587</v>
      </c>
    </row>
    <row r="13" spans="1:11" ht="12.75">
      <c r="A13" s="34" t="s">
        <v>17</v>
      </c>
      <c r="B13" s="4">
        <v>200</v>
      </c>
      <c r="C13" s="92"/>
      <c r="D13" s="4">
        <v>491</v>
      </c>
      <c r="E13" s="4">
        <f>6964+7762</f>
        <v>14726</v>
      </c>
      <c r="F13" s="4">
        <f>B13+D13+E13</f>
        <v>15417</v>
      </c>
      <c r="G13" s="4"/>
      <c r="H13" s="4">
        <v>13162</v>
      </c>
      <c r="I13" s="4">
        <v>26</v>
      </c>
      <c r="J13" s="4">
        <v>257</v>
      </c>
      <c r="K13" s="4">
        <f>H13+I13+J13</f>
        <v>13445</v>
      </c>
    </row>
    <row r="14" spans="1:11" ht="12.75">
      <c r="A14" s="34" t="s">
        <v>19</v>
      </c>
      <c r="B14" s="4">
        <v>229</v>
      </c>
      <c r="C14" s="92"/>
      <c r="D14" s="4">
        <v>169</v>
      </c>
      <c r="E14" s="4">
        <f>3271+4328</f>
        <v>7599</v>
      </c>
      <c r="F14" s="4">
        <f>B14+D14+E14</f>
        <v>7997</v>
      </c>
      <c r="G14" s="4"/>
      <c r="H14" s="4">
        <v>7014</v>
      </c>
      <c r="I14" s="4">
        <v>12</v>
      </c>
      <c r="J14" s="4">
        <v>116</v>
      </c>
      <c r="K14" s="4">
        <f>H14+I14+J14</f>
        <v>7142</v>
      </c>
    </row>
    <row r="15" spans="1:11" ht="24.75" customHeight="1">
      <c r="A15" s="52" t="s">
        <v>49</v>
      </c>
      <c r="B15" s="4">
        <f>B17+B16</f>
        <v>246</v>
      </c>
      <c r="C15" s="4"/>
      <c r="D15" s="4">
        <f>D17+D16</f>
        <v>357</v>
      </c>
      <c r="E15" s="4">
        <f>E17+E16</f>
        <v>11975</v>
      </c>
      <c r="F15" s="4">
        <f>F17+F16</f>
        <v>12578</v>
      </c>
      <c r="G15" s="4"/>
      <c r="H15" s="4">
        <f>H17+H16</f>
        <v>8687</v>
      </c>
      <c r="I15" s="4">
        <f>I17+I16</f>
        <v>20</v>
      </c>
      <c r="J15" s="4">
        <f>J17+J16</f>
        <v>129</v>
      </c>
      <c r="K15" s="4">
        <f>K17+K16</f>
        <v>8836</v>
      </c>
    </row>
    <row r="16" spans="1:11" ht="12.75">
      <c r="A16" s="34" t="s">
        <v>17</v>
      </c>
      <c r="B16" s="4">
        <f>B13-99</f>
        <v>101</v>
      </c>
      <c r="C16" s="92"/>
      <c r="D16" s="4">
        <f>D13-220</f>
        <v>271</v>
      </c>
      <c r="E16" s="4">
        <f>E13-2595-4098</f>
        <v>8033</v>
      </c>
      <c r="F16" s="4">
        <f>B16+D16+E16</f>
        <v>8405</v>
      </c>
      <c r="G16" s="4"/>
      <c r="H16" s="4">
        <f>H13-2474-4698</f>
        <v>5990</v>
      </c>
      <c r="I16" s="4">
        <f>I13-13</f>
        <v>13</v>
      </c>
      <c r="J16" s="4">
        <f>J13-155</f>
        <v>102</v>
      </c>
      <c r="K16" s="4">
        <f>H16+I16+J16</f>
        <v>6105</v>
      </c>
    </row>
    <row r="17" spans="1:11" ht="12.75">
      <c r="A17" s="34" t="s">
        <v>19</v>
      </c>
      <c r="B17" s="19">
        <f>B14-84</f>
        <v>145</v>
      </c>
      <c r="C17" s="93"/>
      <c r="D17" s="19">
        <f>D14-83</f>
        <v>86</v>
      </c>
      <c r="E17" s="19">
        <f>E14-1286-2371</f>
        <v>3942</v>
      </c>
      <c r="F17" s="4">
        <f>B17+D17+E17</f>
        <v>4173</v>
      </c>
      <c r="G17" s="4"/>
      <c r="H17" s="19">
        <f>H14-1665-2652</f>
        <v>2697</v>
      </c>
      <c r="I17" s="19">
        <f>I14-5</f>
        <v>7</v>
      </c>
      <c r="J17" s="19">
        <f>J14-89</f>
        <v>27</v>
      </c>
      <c r="K17" s="4">
        <f>H17+I17+J17</f>
        <v>2731</v>
      </c>
    </row>
    <row r="18" spans="1:11" ht="18.75" customHeight="1">
      <c r="A18" s="29" t="s">
        <v>53</v>
      </c>
      <c r="B18" s="115">
        <f>B6+B12</f>
        <v>9688</v>
      </c>
      <c r="C18" s="115"/>
      <c r="D18" s="115">
        <f aca="true" t="shared" si="2" ref="D18:F20">D6+D12</f>
        <v>14851</v>
      </c>
      <c r="E18" s="115">
        <f t="shared" si="2"/>
        <v>79189</v>
      </c>
      <c r="F18" s="115">
        <f t="shared" si="2"/>
        <v>103728</v>
      </c>
      <c r="G18" s="115"/>
      <c r="H18" s="115">
        <f aca="true" t="shared" si="3" ref="H18:K20">H6+H12</f>
        <v>273897</v>
      </c>
      <c r="I18" s="115">
        <f t="shared" si="3"/>
        <v>185</v>
      </c>
      <c r="J18" s="115">
        <f t="shared" si="3"/>
        <v>22595</v>
      </c>
      <c r="K18" s="115">
        <f t="shared" si="3"/>
        <v>296677</v>
      </c>
    </row>
    <row r="19" spans="1:11" ht="12.75">
      <c r="A19" s="34" t="s">
        <v>17</v>
      </c>
      <c r="B19" s="4">
        <f>B7+B13</f>
        <v>4475</v>
      </c>
      <c r="C19" s="4"/>
      <c r="D19" s="4">
        <f t="shared" si="2"/>
        <v>9246</v>
      </c>
      <c r="E19" s="4">
        <f t="shared" si="2"/>
        <v>52362</v>
      </c>
      <c r="F19" s="4">
        <f t="shared" si="2"/>
        <v>66083</v>
      </c>
      <c r="G19" s="4"/>
      <c r="H19" s="4">
        <f t="shared" si="3"/>
        <v>165289</v>
      </c>
      <c r="I19" s="4">
        <f t="shared" si="3"/>
        <v>113</v>
      </c>
      <c r="J19" s="4">
        <f t="shared" si="3"/>
        <v>11889</v>
      </c>
      <c r="K19" s="4">
        <f t="shared" si="3"/>
        <v>177291</v>
      </c>
    </row>
    <row r="20" spans="1:11" ht="12.75">
      <c r="A20" s="34" t="s">
        <v>19</v>
      </c>
      <c r="B20" s="4">
        <f>B8+B14</f>
        <v>5213</v>
      </c>
      <c r="C20" s="4"/>
      <c r="D20" s="4">
        <f t="shared" si="2"/>
        <v>5605</v>
      </c>
      <c r="E20" s="4">
        <f t="shared" si="2"/>
        <v>26827</v>
      </c>
      <c r="F20" s="4">
        <f t="shared" si="2"/>
        <v>37645</v>
      </c>
      <c r="G20" s="4"/>
      <c r="H20" s="4">
        <f t="shared" si="3"/>
        <v>108608</v>
      </c>
      <c r="I20" s="4">
        <f t="shared" si="3"/>
        <v>72</v>
      </c>
      <c r="J20" s="4">
        <f t="shared" si="3"/>
        <v>10706</v>
      </c>
      <c r="K20" s="4">
        <f t="shared" si="3"/>
        <v>119386</v>
      </c>
    </row>
    <row r="21" spans="1:11" ht="24.75" customHeight="1">
      <c r="A21" s="52" t="s">
        <v>49</v>
      </c>
      <c r="B21" s="4">
        <f>B23+B22</f>
        <v>4381</v>
      </c>
      <c r="C21" s="4"/>
      <c r="D21" s="4">
        <f>D23+D22</f>
        <v>4712</v>
      </c>
      <c r="E21" s="4">
        <f>E23+E22</f>
        <v>32996</v>
      </c>
      <c r="F21" s="4">
        <f>F23+F22</f>
        <v>42089</v>
      </c>
      <c r="G21" s="4"/>
      <c r="H21" s="4">
        <f>H23+H22</f>
        <v>59789</v>
      </c>
      <c r="I21" s="4">
        <f>I23+I22</f>
        <v>106</v>
      </c>
      <c r="J21" s="4">
        <f>J23+J22</f>
        <v>4276</v>
      </c>
      <c r="K21" s="4">
        <f>K23+K22</f>
        <v>64171</v>
      </c>
    </row>
    <row r="22" spans="1:11" ht="12.75">
      <c r="A22" s="34" t="s">
        <v>17</v>
      </c>
      <c r="B22" s="4">
        <f>B10+B16</f>
        <v>1833</v>
      </c>
      <c r="C22" s="4"/>
      <c r="D22" s="4">
        <f aca="true" t="shared" si="4" ref="D22:F23">D10+D16</f>
        <v>3129</v>
      </c>
      <c r="E22" s="4">
        <f t="shared" si="4"/>
        <v>22366</v>
      </c>
      <c r="F22" s="4">
        <f t="shared" si="4"/>
        <v>27328</v>
      </c>
      <c r="G22" s="4"/>
      <c r="H22" s="4">
        <f aca="true" t="shared" si="5" ref="H22:K23">H10+H16</f>
        <v>35873</v>
      </c>
      <c r="I22" s="4">
        <f t="shared" si="5"/>
        <v>70</v>
      </c>
      <c r="J22" s="4">
        <f t="shared" si="5"/>
        <v>2146</v>
      </c>
      <c r="K22" s="4">
        <f t="shared" si="5"/>
        <v>38089</v>
      </c>
    </row>
    <row r="23" spans="1:11" ht="12.75">
      <c r="A23" s="35" t="s">
        <v>19</v>
      </c>
      <c r="B23" s="63">
        <f>B11+B17</f>
        <v>2548</v>
      </c>
      <c r="C23" s="63"/>
      <c r="D23" s="63">
        <f t="shared" si="4"/>
        <v>1583</v>
      </c>
      <c r="E23" s="63">
        <f t="shared" si="4"/>
        <v>10630</v>
      </c>
      <c r="F23" s="63">
        <f t="shared" si="4"/>
        <v>14761</v>
      </c>
      <c r="G23" s="63"/>
      <c r="H23" s="63">
        <f t="shared" si="5"/>
        <v>23916</v>
      </c>
      <c r="I23" s="63">
        <f t="shared" si="5"/>
        <v>36</v>
      </c>
      <c r="J23" s="63">
        <f t="shared" si="5"/>
        <v>2130</v>
      </c>
      <c r="K23" s="63">
        <f t="shared" si="5"/>
        <v>26082</v>
      </c>
    </row>
    <row r="24" spans="1:11" ht="24.75" customHeight="1">
      <c r="A24" s="35"/>
      <c r="B24" s="19"/>
      <c r="C24" s="19"/>
      <c r="D24" s="19"/>
      <c r="E24" s="19"/>
      <c r="F24" s="19"/>
      <c r="G24" s="19"/>
      <c r="H24" s="19"/>
      <c r="I24" s="19"/>
      <c r="J24" s="19"/>
      <c r="K24" s="19"/>
    </row>
    <row r="25" spans="1:11" ht="36" customHeight="1">
      <c r="A25" s="167" t="s">
        <v>151</v>
      </c>
      <c r="B25" s="168"/>
      <c r="C25" s="168"/>
      <c r="D25" s="168"/>
      <c r="E25" s="168"/>
      <c r="F25" s="168"/>
      <c r="G25" s="168"/>
      <c r="H25" s="168"/>
      <c r="I25" s="168"/>
      <c r="J25" s="168"/>
      <c r="K25" s="168"/>
    </row>
    <row r="26" ht="12.75">
      <c r="A26" s="28"/>
    </row>
    <row r="27" ht="12.75">
      <c r="A27" s="28"/>
    </row>
  </sheetData>
  <sheetProtection/>
  <mergeCells count="5">
    <mergeCell ref="A25:K25"/>
    <mergeCell ref="A1:K1"/>
    <mergeCell ref="A3:K3"/>
    <mergeCell ref="B4:F4"/>
    <mergeCell ref="H4:K4"/>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7.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
      <selection activeCell="D34" sqref="D34:D35"/>
    </sheetView>
  </sheetViews>
  <sheetFormatPr defaultColWidth="9.140625" defaultRowHeight="12.75"/>
  <cols>
    <col min="1" max="1" width="21.421875" style="0" customWidth="1"/>
    <col min="2" max="2" width="8.28125" style="0" customWidth="1"/>
    <col min="3" max="3" width="1.8515625" style="0" customWidth="1"/>
    <col min="4" max="4" width="7.28125" style="0" customWidth="1"/>
    <col min="5" max="5" width="7.140625" style="0" customWidth="1"/>
    <col min="6" max="6" width="9.28125" style="0" customWidth="1"/>
    <col min="7" max="7" width="1.8515625" style="0" customWidth="1"/>
    <col min="8" max="9" width="8.28125" style="0" customWidth="1"/>
    <col min="10" max="10" width="7.140625" style="0" customWidth="1"/>
    <col min="11" max="11" width="8.28125" style="0" customWidth="1"/>
  </cols>
  <sheetData>
    <row r="1" spans="1:11" ht="42" customHeight="1">
      <c r="A1" s="173" t="s">
        <v>171</v>
      </c>
      <c r="B1" s="174"/>
      <c r="C1" s="174"/>
      <c r="D1" s="174"/>
      <c r="E1" s="174"/>
      <c r="F1" s="174"/>
      <c r="G1" s="174"/>
      <c r="H1" s="174"/>
      <c r="I1" s="174"/>
      <c r="J1" s="174"/>
      <c r="K1" s="174"/>
    </row>
    <row r="2" spans="1:11" ht="7.5" customHeight="1">
      <c r="A2" s="75"/>
      <c r="B2" s="76"/>
      <c r="C2" s="76"/>
      <c r="D2" s="76"/>
      <c r="E2" s="76"/>
      <c r="F2" s="76"/>
      <c r="G2" s="76"/>
      <c r="H2" s="76"/>
      <c r="I2" s="76"/>
      <c r="J2" s="76"/>
      <c r="K2" s="76"/>
    </row>
    <row r="3" spans="1:11" ht="27" customHeight="1">
      <c r="A3" s="176" t="s">
        <v>172</v>
      </c>
      <c r="B3" s="176"/>
      <c r="C3" s="176"/>
      <c r="D3" s="176"/>
      <c r="E3" s="176"/>
      <c r="F3" s="176"/>
      <c r="G3" s="176"/>
      <c r="H3" s="176"/>
      <c r="I3" s="176"/>
      <c r="J3" s="176"/>
      <c r="K3" s="176"/>
    </row>
    <row r="4" spans="1:11" ht="16.5" customHeight="1">
      <c r="A4" s="74" t="s">
        <v>133</v>
      </c>
      <c r="B4" s="178" t="s">
        <v>69</v>
      </c>
      <c r="C4" s="178"/>
      <c r="D4" s="178"/>
      <c r="E4" s="178"/>
      <c r="F4" s="178"/>
      <c r="G4" s="60"/>
      <c r="H4" s="77" t="s">
        <v>11</v>
      </c>
      <c r="I4" s="77"/>
      <c r="J4" s="77"/>
      <c r="K4" s="77"/>
    </row>
    <row r="5" spans="1:11" ht="49.5" customHeight="1">
      <c r="A5" s="5" t="s">
        <v>134</v>
      </c>
      <c r="B5" s="10" t="s">
        <v>140</v>
      </c>
      <c r="C5" s="97" t="s">
        <v>139</v>
      </c>
      <c r="D5" s="10" t="s">
        <v>29</v>
      </c>
      <c r="E5" s="10" t="s">
        <v>13</v>
      </c>
      <c r="F5" s="10" t="s">
        <v>59</v>
      </c>
      <c r="G5" s="10"/>
      <c r="H5" s="10" t="s">
        <v>63</v>
      </c>
      <c r="I5" s="10" t="s">
        <v>14</v>
      </c>
      <c r="J5" s="10" t="s">
        <v>76</v>
      </c>
      <c r="K5" s="10" t="s">
        <v>60</v>
      </c>
    </row>
    <row r="6" spans="1:11" ht="16.5" customHeight="1">
      <c r="A6" s="29" t="s">
        <v>15</v>
      </c>
      <c r="B6" s="115">
        <f>B7+B8</f>
        <v>9204</v>
      </c>
      <c r="C6" s="115"/>
      <c r="D6" s="115">
        <f>D7+D8</f>
        <v>11085</v>
      </c>
      <c r="E6" s="115">
        <f>E7+E8</f>
        <v>36928</v>
      </c>
      <c r="F6" s="115">
        <f>B6+D6+E6</f>
        <v>57217</v>
      </c>
      <c r="G6" s="115"/>
      <c r="H6" s="115">
        <f>H8+H7</f>
        <v>253010</v>
      </c>
      <c r="I6" s="115">
        <f>I8+I7</f>
        <v>146</v>
      </c>
      <c r="J6" s="115">
        <f>J8+J7</f>
        <v>22221</v>
      </c>
      <c r="K6" s="115">
        <f>K8+K7</f>
        <v>275377</v>
      </c>
    </row>
    <row r="7" spans="1:11" ht="12.75">
      <c r="A7" s="34" t="s">
        <v>17</v>
      </c>
      <c r="B7" s="4">
        <v>4235</v>
      </c>
      <c r="C7" s="92"/>
      <c r="D7" s="4">
        <v>6644</v>
      </c>
      <c r="E7" s="4">
        <v>22790</v>
      </c>
      <c r="F7" s="4">
        <f>B7+D7+E7</f>
        <v>33669</v>
      </c>
      <c r="G7" s="4"/>
      <c r="H7" s="4">
        <v>151536</v>
      </c>
      <c r="I7" s="4">
        <v>87</v>
      </c>
      <c r="J7" s="4">
        <v>11631</v>
      </c>
      <c r="K7" s="4">
        <f>H7+I7+J7</f>
        <v>163254</v>
      </c>
    </row>
    <row r="8" spans="1:11" ht="12.75">
      <c r="A8" s="34" t="s">
        <v>19</v>
      </c>
      <c r="B8" s="4">
        <v>4969</v>
      </c>
      <c r="C8" s="92"/>
      <c r="D8" s="4">
        <v>4441</v>
      </c>
      <c r="E8" s="4">
        <v>14138</v>
      </c>
      <c r="F8" s="4">
        <f>B8+D8+E8</f>
        <v>23548</v>
      </c>
      <c r="G8" s="4"/>
      <c r="H8" s="4">
        <v>101474</v>
      </c>
      <c r="I8" s="4">
        <v>59</v>
      </c>
      <c r="J8" s="4">
        <v>10590</v>
      </c>
      <c r="K8" s="4">
        <f>H8+I8+J8</f>
        <v>112123</v>
      </c>
    </row>
    <row r="9" spans="1:11" ht="24.75" customHeight="1">
      <c r="A9" s="52" t="s">
        <v>49</v>
      </c>
      <c r="B9" s="4">
        <f>B11+B10</f>
        <v>4111</v>
      </c>
      <c r="C9" s="4"/>
      <c r="D9" s="4">
        <f>D11+D10</f>
        <v>2853</v>
      </c>
      <c r="E9" s="4">
        <f>E11+E10</f>
        <v>10972</v>
      </c>
      <c r="F9" s="4">
        <f>F11+F10</f>
        <v>17936</v>
      </c>
      <c r="G9" s="4"/>
      <c r="H9" s="4">
        <f>H11+H10</f>
        <v>50781</v>
      </c>
      <c r="I9" s="4">
        <f>I11+I10</f>
        <v>86</v>
      </c>
      <c r="J9" s="4">
        <f>J11+J10</f>
        <v>4146</v>
      </c>
      <c r="K9" s="4">
        <f>K11+K10</f>
        <v>55013</v>
      </c>
    </row>
    <row r="10" spans="1:11" ht="12.75">
      <c r="A10" s="34" t="s">
        <v>17</v>
      </c>
      <c r="B10" s="4">
        <f>B7-2521</f>
        <v>1714</v>
      </c>
      <c r="C10" s="92"/>
      <c r="D10" s="4">
        <f>D7-4944</f>
        <v>1700</v>
      </c>
      <c r="E10" s="4">
        <f>E7-16463</f>
        <v>6327</v>
      </c>
      <c r="F10" s="4">
        <f aca="true" t="shared" si="0" ref="F10:F20">B10+D10+E10</f>
        <v>9741</v>
      </c>
      <c r="G10" s="4"/>
      <c r="H10" s="4">
        <f>H7-121946</f>
        <v>29590</v>
      </c>
      <c r="I10" s="4">
        <f>I7-30</f>
        <v>57</v>
      </c>
      <c r="J10" s="4">
        <f>J7-9588</f>
        <v>2043</v>
      </c>
      <c r="K10" s="4">
        <f>H10+I10+J10</f>
        <v>31690</v>
      </c>
    </row>
    <row r="11" spans="1:11" ht="12.75">
      <c r="A11" s="34" t="s">
        <v>19</v>
      </c>
      <c r="B11" s="4">
        <f>B8-2572</f>
        <v>2397</v>
      </c>
      <c r="C11" s="92"/>
      <c r="D11" s="4">
        <f>D8-3288</f>
        <v>1153</v>
      </c>
      <c r="E11" s="4">
        <f>E8-9493</f>
        <v>4645</v>
      </c>
      <c r="F11" s="4">
        <f t="shared" si="0"/>
        <v>8195</v>
      </c>
      <c r="G11" s="4"/>
      <c r="H11" s="4">
        <f>H8-80283</f>
        <v>21191</v>
      </c>
      <c r="I11" s="4">
        <f>I8-30</f>
        <v>29</v>
      </c>
      <c r="J11" s="4">
        <f>J8-8487</f>
        <v>2103</v>
      </c>
      <c r="K11" s="4">
        <f>H11+I11+J11</f>
        <v>23323</v>
      </c>
    </row>
    <row r="12" spans="1:11" ht="18.75" customHeight="1">
      <c r="A12" s="29" t="s">
        <v>18</v>
      </c>
      <c r="B12" s="115">
        <f>B13+B14</f>
        <v>427</v>
      </c>
      <c r="C12" s="115"/>
      <c r="D12" s="115">
        <f>D13+D14</f>
        <v>455</v>
      </c>
      <c r="E12" s="115">
        <f>E13+E14</f>
        <v>15416</v>
      </c>
      <c r="F12" s="115">
        <f t="shared" si="0"/>
        <v>16298</v>
      </c>
      <c r="G12" s="115"/>
      <c r="H12" s="115">
        <f>H14+H13</f>
        <v>19747</v>
      </c>
      <c r="I12" s="115">
        <f>I14+I13</f>
        <v>38</v>
      </c>
      <c r="J12" s="115">
        <f>J14+J13</f>
        <v>373</v>
      </c>
      <c r="K12" s="115">
        <f>K14+K13</f>
        <v>20158</v>
      </c>
    </row>
    <row r="13" spans="1:11" ht="12.75">
      <c r="A13" s="34" t="s">
        <v>17</v>
      </c>
      <c r="B13" s="4">
        <v>198</v>
      </c>
      <c r="C13" s="92"/>
      <c r="D13" s="4">
        <v>334</v>
      </c>
      <c r="E13" s="4">
        <f>4435+5093</f>
        <v>9528</v>
      </c>
      <c r="F13" s="4">
        <f t="shared" si="0"/>
        <v>10060</v>
      </c>
      <c r="G13" s="4"/>
      <c r="H13" s="4">
        <f>8774+3970</f>
        <v>12744</v>
      </c>
      <c r="I13" s="4">
        <v>26</v>
      </c>
      <c r="J13" s="4">
        <v>257</v>
      </c>
      <c r="K13" s="4">
        <f>H13+I13+J13</f>
        <v>13027</v>
      </c>
    </row>
    <row r="14" spans="1:11" ht="12.75">
      <c r="A14" s="34" t="s">
        <v>19</v>
      </c>
      <c r="B14" s="4">
        <v>229</v>
      </c>
      <c r="C14" s="92"/>
      <c r="D14" s="4">
        <v>121</v>
      </c>
      <c r="E14" s="4">
        <f>2568+3320</f>
        <v>5888</v>
      </c>
      <c r="F14" s="4">
        <f t="shared" si="0"/>
        <v>6238</v>
      </c>
      <c r="G14" s="4"/>
      <c r="H14" s="4">
        <f>4378+2625</f>
        <v>7003</v>
      </c>
      <c r="I14" s="4">
        <v>12</v>
      </c>
      <c r="J14" s="4">
        <v>116</v>
      </c>
      <c r="K14" s="4">
        <f>H14+I14+J14</f>
        <v>7131</v>
      </c>
    </row>
    <row r="15" spans="1:11" ht="24.75" customHeight="1">
      <c r="A15" s="52" t="s">
        <v>49</v>
      </c>
      <c r="B15" s="4">
        <f>B17+B16</f>
        <v>244</v>
      </c>
      <c r="C15" s="4"/>
      <c r="D15" s="4">
        <f>D17+D16</f>
        <v>205</v>
      </c>
      <c r="E15" s="4">
        <f>E17+E16</f>
        <v>7635</v>
      </c>
      <c r="F15" s="4">
        <f t="shared" si="0"/>
        <v>8084</v>
      </c>
      <c r="G15" s="4"/>
      <c r="H15" s="4">
        <f>H17+H16</f>
        <v>8352</v>
      </c>
      <c r="I15" s="4">
        <f>I17+I16</f>
        <v>20</v>
      </c>
      <c r="J15" s="4">
        <f>J17+J16</f>
        <v>129</v>
      </c>
      <c r="K15" s="4">
        <f>H15+I15+J15</f>
        <v>8501</v>
      </c>
    </row>
    <row r="16" spans="1:11" ht="12.75">
      <c r="A16" s="34" t="s">
        <v>17</v>
      </c>
      <c r="B16" s="4">
        <f>B13-99</f>
        <v>99</v>
      </c>
      <c r="C16" s="92"/>
      <c r="D16" s="4">
        <f>D13-182</f>
        <v>152</v>
      </c>
      <c r="E16" s="4">
        <f>E13-1888-3008</f>
        <v>4632</v>
      </c>
      <c r="F16" s="4">
        <f t="shared" si="0"/>
        <v>4883</v>
      </c>
      <c r="G16" s="4"/>
      <c r="H16" s="4">
        <f>H13-4614-2466</f>
        <v>5664</v>
      </c>
      <c r="I16" s="4">
        <f>I13-13</f>
        <v>13</v>
      </c>
      <c r="J16" s="4">
        <f>J13-106-49</f>
        <v>102</v>
      </c>
      <c r="K16" s="4">
        <f>H16+I16+J16</f>
        <v>5779</v>
      </c>
    </row>
    <row r="17" spans="1:11" ht="12.75">
      <c r="A17" s="34" t="s">
        <v>19</v>
      </c>
      <c r="B17" s="19">
        <f>B14-84</f>
        <v>145</v>
      </c>
      <c r="C17" s="93"/>
      <c r="D17" s="19">
        <f>D14-68</f>
        <v>53</v>
      </c>
      <c r="E17" s="19">
        <f>E14-1022-1863</f>
        <v>3003</v>
      </c>
      <c r="F17" s="4">
        <f t="shared" si="0"/>
        <v>3201</v>
      </c>
      <c r="G17" s="4"/>
      <c r="H17" s="19">
        <f>H14-2650-1665</f>
        <v>2688</v>
      </c>
      <c r="I17" s="19">
        <f>I14-5</f>
        <v>7</v>
      </c>
      <c r="J17" s="19">
        <f>J14-57-32</f>
        <v>27</v>
      </c>
      <c r="K17" s="4">
        <f>H17+I17+J17</f>
        <v>2722</v>
      </c>
    </row>
    <row r="18" spans="1:11" ht="18.75" customHeight="1">
      <c r="A18" s="29" t="s">
        <v>53</v>
      </c>
      <c r="B18" s="115">
        <f>B19+B20</f>
        <v>9631</v>
      </c>
      <c r="C18" s="115"/>
      <c r="D18" s="115">
        <f>D19+D20</f>
        <v>11540</v>
      </c>
      <c r="E18" s="115">
        <f>E19+E20</f>
        <v>52344</v>
      </c>
      <c r="F18" s="115">
        <f t="shared" si="0"/>
        <v>73515</v>
      </c>
      <c r="G18" s="115"/>
      <c r="H18" s="115">
        <f aca="true" t="shared" si="1" ref="H18:K20">H6+H12</f>
        <v>272757</v>
      </c>
      <c r="I18" s="115">
        <f t="shared" si="1"/>
        <v>184</v>
      </c>
      <c r="J18" s="115">
        <f t="shared" si="1"/>
        <v>22594</v>
      </c>
      <c r="K18" s="115">
        <f t="shared" si="1"/>
        <v>295535</v>
      </c>
    </row>
    <row r="19" spans="1:11" ht="12.75">
      <c r="A19" s="34" t="s">
        <v>17</v>
      </c>
      <c r="B19" s="4">
        <f>B7+B13</f>
        <v>4433</v>
      </c>
      <c r="C19" s="4"/>
      <c r="D19" s="4">
        <f>D7+D13</f>
        <v>6978</v>
      </c>
      <c r="E19" s="4">
        <f>E7+E13</f>
        <v>32318</v>
      </c>
      <c r="F19" s="4">
        <f t="shared" si="0"/>
        <v>43729</v>
      </c>
      <c r="G19" s="4"/>
      <c r="H19" s="4">
        <f t="shared" si="1"/>
        <v>164280</v>
      </c>
      <c r="I19" s="4">
        <f t="shared" si="1"/>
        <v>113</v>
      </c>
      <c r="J19" s="4">
        <f t="shared" si="1"/>
        <v>11888</v>
      </c>
      <c r="K19" s="4">
        <f t="shared" si="1"/>
        <v>176281</v>
      </c>
    </row>
    <row r="20" spans="1:11" ht="12.75">
      <c r="A20" s="34" t="s">
        <v>19</v>
      </c>
      <c r="B20" s="4">
        <f>B8+B14</f>
        <v>5198</v>
      </c>
      <c r="C20" s="4"/>
      <c r="D20" s="4">
        <f>D8+D14</f>
        <v>4562</v>
      </c>
      <c r="E20" s="4">
        <f>E8+E14</f>
        <v>20026</v>
      </c>
      <c r="F20" s="4">
        <f t="shared" si="0"/>
        <v>29786</v>
      </c>
      <c r="G20" s="4"/>
      <c r="H20" s="4">
        <f t="shared" si="1"/>
        <v>108477</v>
      </c>
      <c r="I20" s="4">
        <f t="shared" si="1"/>
        <v>71</v>
      </c>
      <c r="J20" s="4">
        <f t="shared" si="1"/>
        <v>10706</v>
      </c>
      <c r="K20" s="4">
        <f t="shared" si="1"/>
        <v>119254</v>
      </c>
    </row>
    <row r="21" spans="1:11" ht="24.75" customHeight="1">
      <c r="A21" s="52" t="s">
        <v>49</v>
      </c>
      <c r="B21" s="4">
        <f>B22+B23</f>
        <v>4355</v>
      </c>
      <c r="C21" s="4"/>
      <c r="D21" s="4">
        <f>D22+D23</f>
        <v>3058</v>
      </c>
      <c r="E21" s="4">
        <f>E22+E23</f>
        <v>18607</v>
      </c>
      <c r="F21" s="4">
        <f>F22+F23</f>
        <v>26020</v>
      </c>
      <c r="G21" s="4"/>
      <c r="H21" s="4">
        <f>H22+H23</f>
        <v>59133</v>
      </c>
      <c r="I21" s="4">
        <f>I22+I23</f>
        <v>106</v>
      </c>
      <c r="J21" s="4">
        <f>J22+J23</f>
        <v>4275</v>
      </c>
      <c r="K21" s="4">
        <f>K22+K23</f>
        <v>63514</v>
      </c>
    </row>
    <row r="22" spans="1:11" ht="12.75">
      <c r="A22" s="34" t="s">
        <v>17</v>
      </c>
      <c r="B22" s="4">
        <f>B10+B16</f>
        <v>1813</v>
      </c>
      <c r="C22" s="4"/>
      <c r="D22" s="4">
        <f aca="true" t="shared" si="2" ref="D22:F23">D10+D16</f>
        <v>1852</v>
      </c>
      <c r="E22" s="4">
        <f t="shared" si="2"/>
        <v>10959</v>
      </c>
      <c r="F22" s="4">
        <f t="shared" si="2"/>
        <v>14624</v>
      </c>
      <c r="G22" s="4"/>
      <c r="H22" s="4">
        <f aca="true" t="shared" si="3" ref="H22:K23">H10+H16</f>
        <v>35254</v>
      </c>
      <c r="I22" s="4">
        <f t="shared" si="3"/>
        <v>70</v>
      </c>
      <c r="J22" s="4">
        <f t="shared" si="3"/>
        <v>2145</v>
      </c>
      <c r="K22" s="4">
        <f t="shared" si="3"/>
        <v>37469</v>
      </c>
    </row>
    <row r="23" spans="1:11" ht="12.75">
      <c r="A23" s="35" t="s">
        <v>19</v>
      </c>
      <c r="B23" s="63">
        <f>B11+B17</f>
        <v>2542</v>
      </c>
      <c r="C23" s="63"/>
      <c r="D23" s="63">
        <f t="shared" si="2"/>
        <v>1206</v>
      </c>
      <c r="E23" s="63">
        <f t="shared" si="2"/>
        <v>7648</v>
      </c>
      <c r="F23" s="63">
        <f t="shared" si="2"/>
        <v>11396</v>
      </c>
      <c r="G23" s="63"/>
      <c r="H23" s="63">
        <f t="shared" si="3"/>
        <v>23879</v>
      </c>
      <c r="I23" s="63">
        <f t="shared" si="3"/>
        <v>36</v>
      </c>
      <c r="J23" s="63">
        <f t="shared" si="3"/>
        <v>2130</v>
      </c>
      <c r="K23" s="63">
        <f t="shared" si="3"/>
        <v>26045</v>
      </c>
    </row>
    <row r="24" spans="1:11" ht="24" customHeight="1">
      <c r="A24" s="81"/>
      <c r="B24" s="19"/>
      <c r="C24" s="19"/>
      <c r="D24" s="19"/>
      <c r="E24" s="19"/>
      <c r="F24" s="19"/>
      <c r="G24" s="19"/>
      <c r="H24" s="19"/>
      <c r="I24" s="19"/>
      <c r="J24" s="19"/>
      <c r="K24" s="19"/>
    </row>
    <row r="25" spans="1:11" ht="36" customHeight="1">
      <c r="A25" s="167" t="s">
        <v>151</v>
      </c>
      <c r="B25" s="168"/>
      <c r="C25" s="168"/>
      <c r="D25" s="168"/>
      <c r="E25" s="168"/>
      <c r="F25" s="168"/>
      <c r="G25" s="168"/>
      <c r="H25" s="168"/>
      <c r="I25" s="168"/>
      <c r="J25" s="168"/>
      <c r="K25" s="168"/>
    </row>
    <row r="26" spans="1:11" ht="12.75">
      <c r="A26" s="16"/>
      <c r="B26" s="16"/>
      <c r="C26" s="16"/>
      <c r="D26" s="16"/>
      <c r="E26" s="16"/>
      <c r="F26" s="16"/>
      <c r="G26" s="16"/>
      <c r="H26" s="16"/>
      <c r="I26" s="16"/>
      <c r="J26" s="16"/>
      <c r="K26" s="16"/>
    </row>
    <row r="27" spans="1:11" ht="12.75" customHeight="1">
      <c r="A27" s="16"/>
      <c r="B27" s="16"/>
      <c r="C27" s="16"/>
      <c r="D27" s="16"/>
      <c r="E27" s="16"/>
      <c r="F27" s="16"/>
      <c r="G27" s="16"/>
      <c r="H27" s="16"/>
      <c r="I27" s="16"/>
      <c r="J27" s="16"/>
      <c r="K27" s="16"/>
    </row>
    <row r="28" ht="12.75">
      <c r="A28" s="28"/>
    </row>
    <row r="31" spans="1:4" ht="12.75">
      <c r="A31" s="28"/>
      <c r="B31" s="28"/>
      <c r="C31" s="28"/>
      <c r="D31" s="28"/>
    </row>
    <row r="32" ht="12.75">
      <c r="A32" s="28"/>
    </row>
    <row r="33" ht="12.75">
      <c r="A33" s="28"/>
    </row>
  </sheetData>
  <sheetProtection/>
  <mergeCells count="4">
    <mergeCell ref="A25:K25"/>
    <mergeCell ref="A1:K1"/>
    <mergeCell ref="A3:K3"/>
    <mergeCell ref="B4:F4"/>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1">
      <selection activeCell="D34" sqref="D34:D35"/>
    </sheetView>
  </sheetViews>
  <sheetFormatPr defaultColWidth="9.140625" defaultRowHeight="12.75"/>
  <cols>
    <col min="1" max="1" width="21.421875" style="0" customWidth="1"/>
    <col min="2" max="2" width="8.28125" style="0" customWidth="1"/>
    <col min="3" max="3" width="1.7109375" style="0" customWidth="1"/>
    <col min="4" max="5" width="8.28125" style="0" customWidth="1"/>
    <col min="6" max="6" width="9.7109375" style="0" customWidth="1"/>
    <col min="7" max="7" width="1.7109375" style="0" customWidth="1"/>
    <col min="8" max="8" width="8.7109375" style="0" customWidth="1"/>
    <col min="9" max="9" width="8.28125" style="0" customWidth="1"/>
    <col min="10" max="10" width="9.28125" style="0" customWidth="1"/>
    <col min="11" max="11" width="8.421875" style="0" customWidth="1"/>
  </cols>
  <sheetData>
    <row r="1" spans="1:11" ht="37.5" customHeight="1">
      <c r="A1" s="173" t="s">
        <v>173</v>
      </c>
      <c r="B1" s="173"/>
      <c r="C1" s="173"/>
      <c r="D1" s="173"/>
      <c r="E1" s="173"/>
      <c r="F1" s="173"/>
      <c r="G1" s="173"/>
      <c r="H1" s="173"/>
      <c r="I1" s="173"/>
      <c r="J1" s="173"/>
      <c r="K1" s="16"/>
    </row>
    <row r="2" spans="1:11" ht="7.5" customHeight="1">
      <c r="A2" s="75"/>
      <c r="B2" s="75"/>
      <c r="C2" s="75"/>
      <c r="D2" s="75"/>
      <c r="E2" s="75"/>
      <c r="F2" s="75"/>
      <c r="G2" s="75"/>
      <c r="H2" s="75"/>
      <c r="I2" s="75"/>
      <c r="J2" s="75"/>
      <c r="K2" s="16"/>
    </row>
    <row r="3" spans="1:11" ht="28.5" customHeight="1">
      <c r="A3" s="176" t="s">
        <v>174</v>
      </c>
      <c r="B3" s="176"/>
      <c r="C3" s="176"/>
      <c r="D3" s="176"/>
      <c r="E3" s="176"/>
      <c r="F3" s="176"/>
      <c r="G3" s="176"/>
      <c r="H3" s="176"/>
      <c r="I3" s="176"/>
      <c r="J3" s="176"/>
      <c r="K3" s="17"/>
    </row>
    <row r="4" spans="1:11" ht="16.5" customHeight="1">
      <c r="A4" s="74" t="s">
        <v>133</v>
      </c>
      <c r="B4" s="77" t="s">
        <v>69</v>
      </c>
      <c r="C4" s="77"/>
      <c r="D4" s="77"/>
      <c r="E4" s="77"/>
      <c r="F4" s="77"/>
      <c r="G4" s="60"/>
      <c r="H4" s="77" t="s">
        <v>11</v>
      </c>
      <c r="I4" s="77"/>
      <c r="J4" s="77"/>
      <c r="K4" s="60"/>
    </row>
    <row r="5" spans="1:11" ht="51" customHeight="1">
      <c r="A5" s="5" t="s">
        <v>134</v>
      </c>
      <c r="B5" s="10" t="s">
        <v>140</v>
      </c>
      <c r="C5" s="97" t="s">
        <v>143</v>
      </c>
      <c r="D5" s="10" t="s">
        <v>29</v>
      </c>
      <c r="E5" s="10" t="s">
        <v>13</v>
      </c>
      <c r="F5" s="10" t="s">
        <v>59</v>
      </c>
      <c r="G5" s="10"/>
      <c r="H5" s="10" t="s">
        <v>34</v>
      </c>
      <c r="I5" s="10" t="s">
        <v>48</v>
      </c>
      <c r="J5" s="10" t="s">
        <v>60</v>
      </c>
      <c r="K5" s="20"/>
    </row>
    <row r="6" spans="1:11" ht="17.25" customHeight="1">
      <c r="A6" s="29" t="s">
        <v>15</v>
      </c>
      <c r="B6" s="115">
        <f>B8+B7</f>
        <v>60</v>
      </c>
      <c r="C6" s="115"/>
      <c r="D6" s="115">
        <f>D8+D7</f>
        <v>3511</v>
      </c>
      <c r="E6" s="115">
        <f>E8+E7</f>
        <v>21765</v>
      </c>
      <c r="F6" s="115">
        <f aca="true" t="shared" si="0" ref="F6:F13">B6+D6+E6</f>
        <v>25336</v>
      </c>
      <c r="G6" s="115"/>
      <c r="H6" s="115">
        <f>H8+H7</f>
        <v>540</v>
      </c>
      <c r="I6" s="115">
        <f>I8+I7</f>
        <v>159</v>
      </c>
      <c r="J6" s="115">
        <f aca="true" t="shared" si="1" ref="J6:J11">H6+I6</f>
        <v>699</v>
      </c>
      <c r="K6" s="7"/>
    </row>
    <row r="7" spans="1:11" ht="12.75">
      <c r="A7" s="34" t="s">
        <v>17</v>
      </c>
      <c r="B7" s="4">
        <v>43</v>
      </c>
      <c r="C7" s="92"/>
      <c r="D7" s="4">
        <v>2344</v>
      </c>
      <c r="E7" s="4">
        <v>16170</v>
      </c>
      <c r="F7" s="4">
        <f t="shared" si="0"/>
        <v>18557</v>
      </c>
      <c r="G7" s="4"/>
      <c r="H7" s="4">
        <v>513</v>
      </c>
      <c r="I7" s="4">
        <v>55</v>
      </c>
      <c r="J7" s="4">
        <f t="shared" si="1"/>
        <v>568</v>
      </c>
      <c r="K7" s="4"/>
    </row>
    <row r="8" spans="1:11" ht="12.75">
      <c r="A8" s="34" t="s">
        <v>19</v>
      </c>
      <c r="B8" s="4">
        <v>17</v>
      </c>
      <c r="C8" s="92"/>
      <c r="D8" s="4">
        <v>1167</v>
      </c>
      <c r="E8" s="4">
        <v>5595</v>
      </c>
      <c r="F8" s="4">
        <f t="shared" si="0"/>
        <v>6779</v>
      </c>
      <c r="G8" s="4"/>
      <c r="H8" s="4">
        <v>27</v>
      </c>
      <c r="I8" s="4">
        <v>104</v>
      </c>
      <c r="J8" s="4">
        <f t="shared" si="1"/>
        <v>131</v>
      </c>
      <c r="K8" s="4"/>
    </row>
    <row r="9" spans="1:11" ht="25.5" customHeight="1">
      <c r="A9" s="52" t="s">
        <v>49</v>
      </c>
      <c r="B9" s="4">
        <f>B11+B10</f>
        <v>26</v>
      </c>
      <c r="C9" s="4"/>
      <c r="D9" s="4">
        <f>D11+D10</f>
        <v>1637</v>
      </c>
      <c r="E9" s="4">
        <f>E11+E10</f>
        <v>10612</v>
      </c>
      <c r="F9" s="4">
        <f t="shared" si="0"/>
        <v>12275</v>
      </c>
      <c r="G9" s="4"/>
      <c r="H9" s="4">
        <f>H10+H11</f>
        <v>276</v>
      </c>
      <c r="I9" s="4">
        <f>I10+I11</f>
        <v>29</v>
      </c>
      <c r="J9" s="4">
        <f t="shared" si="1"/>
        <v>305</v>
      </c>
      <c r="K9" s="4"/>
    </row>
    <row r="10" spans="1:11" ht="12.75">
      <c r="A10" s="34" t="s">
        <v>17</v>
      </c>
      <c r="B10" s="4">
        <f>B7-23</f>
        <v>20</v>
      </c>
      <c r="C10" s="92"/>
      <c r="D10" s="4">
        <f>D7-1105</f>
        <v>1239</v>
      </c>
      <c r="E10" s="4">
        <f>E7-7740</f>
        <v>8430</v>
      </c>
      <c r="F10" s="4">
        <f t="shared" si="0"/>
        <v>9689</v>
      </c>
      <c r="G10" s="4"/>
      <c r="H10" s="4">
        <f>H7-250</f>
        <v>263</v>
      </c>
      <c r="I10" s="4">
        <f>I7-40</f>
        <v>15</v>
      </c>
      <c r="J10" s="4">
        <f t="shared" si="1"/>
        <v>278</v>
      </c>
      <c r="K10" s="4"/>
    </row>
    <row r="11" spans="1:11" ht="12.75">
      <c r="A11" s="34" t="s">
        <v>19</v>
      </c>
      <c r="B11" s="4">
        <f>B8-11</f>
        <v>6</v>
      </c>
      <c r="C11" s="92"/>
      <c r="D11" s="4">
        <f>D8-769</f>
        <v>398</v>
      </c>
      <c r="E11" s="4">
        <f>E8-3413</f>
        <v>2182</v>
      </c>
      <c r="F11" s="4">
        <f t="shared" si="0"/>
        <v>2586</v>
      </c>
      <c r="G11" s="4"/>
      <c r="H11" s="4">
        <f>H8-14</f>
        <v>13</v>
      </c>
      <c r="I11" s="4">
        <f>I8-90</f>
        <v>14</v>
      </c>
      <c r="J11" s="4">
        <f t="shared" si="1"/>
        <v>27</v>
      </c>
      <c r="K11" s="4"/>
    </row>
    <row r="12" spans="1:11" ht="18.75" customHeight="1">
      <c r="A12" s="29" t="s">
        <v>18</v>
      </c>
      <c r="B12" s="115">
        <f>SUM(B13:B14)</f>
        <v>2</v>
      </c>
      <c r="C12" s="115"/>
      <c r="D12" s="115">
        <f>D14+D13</f>
        <v>220</v>
      </c>
      <c r="E12" s="115">
        <f>E14+E13</f>
        <v>7149</v>
      </c>
      <c r="F12" s="115">
        <f t="shared" si="0"/>
        <v>7371</v>
      </c>
      <c r="G12" s="115"/>
      <c r="H12" s="115">
        <f>H14+H13</f>
        <v>430</v>
      </c>
      <c r="I12" s="102">
        <f>SUM(I13:I14)</f>
        <v>2</v>
      </c>
      <c r="J12" s="115">
        <f aca="true" t="shared" si="2" ref="J12:J17">H12</f>
        <v>430</v>
      </c>
      <c r="K12" s="4"/>
    </row>
    <row r="13" spans="1:11" ht="12.75">
      <c r="A13" s="34" t="s">
        <v>17</v>
      </c>
      <c r="B13" s="4">
        <v>2</v>
      </c>
      <c r="C13" s="92"/>
      <c r="D13" s="4">
        <v>167</v>
      </c>
      <c r="E13" s="4">
        <f>2633+2761</f>
        <v>5394</v>
      </c>
      <c r="F13" s="4">
        <f t="shared" si="0"/>
        <v>5563</v>
      </c>
      <c r="G13" s="4"/>
      <c r="H13" s="4">
        <v>421</v>
      </c>
      <c r="I13" s="65">
        <v>2</v>
      </c>
      <c r="J13" s="4">
        <f t="shared" si="2"/>
        <v>421</v>
      </c>
      <c r="K13" s="4"/>
    </row>
    <row r="14" spans="1:11" ht="12.75">
      <c r="A14" s="34" t="s">
        <v>19</v>
      </c>
      <c r="B14" s="65" t="s">
        <v>64</v>
      </c>
      <c r="C14" s="101"/>
      <c r="D14" s="4">
        <v>53</v>
      </c>
      <c r="E14" s="4">
        <f>726+1029</f>
        <v>1755</v>
      </c>
      <c r="F14" s="4">
        <f>SUM(B14:E14)</f>
        <v>1808</v>
      </c>
      <c r="G14" s="4"/>
      <c r="H14" s="4">
        <v>9</v>
      </c>
      <c r="I14" s="65" t="s">
        <v>64</v>
      </c>
      <c r="J14" s="4">
        <f t="shared" si="2"/>
        <v>9</v>
      </c>
      <c r="K14" s="4"/>
    </row>
    <row r="15" spans="1:11" ht="24.75" customHeight="1">
      <c r="A15" s="52" t="s">
        <v>49</v>
      </c>
      <c r="B15" s="65">
        <f>SUM(B16:B17)</f>
        <v>2</v>
      </c>
      <c r="C15" s="65"/>
      <c r="D15" s="4">
        <f>D17+D16</f>
        <v>165</v>
      </c>
      <c r="E15" s="4">
        <f>E17+E16</f>
        <v>4477</v>
      </c>
      <c r="F15" s="4">
        <f>B15+D15+E15</f>
        <v>4644</v>
      </c>
      <c r="G15" s="4"/>
      <c r="H15" s="4">
        <f>H16+H17</f>
        <v>340</v>
      </c>
      <c r="I15" s="65" t="s">
        <v>64</v>
      </c>
      <c r="J15" s="4">
        <f t="shared" si="2"/>
        <v>340</v>
      </c>
      <c r="K15" s="4"/>
    </row>
    <row r="16" spans="1:11" ht="12.75">
      <c r="A16" s="34" t="s">
        <v>17</v>
      </c>
      <c r="B16" s="65">
        <v>2</v>
      </c>
      <c r="C16" s="101"/>
      <c r="D16" s="4">
        <f>D13-40</f>
        <v>127</v>
      </c>
      <c r="E16" s="4">
        <f>E13-741-1134</f>
        <v>3519</v>
      </c>
      <c r="F16" s="4">
        <f>B16+D16+E16</f>
        <v>3648</v>
      </c>
      <c r="G16" s="4"/>
      <c r="H16" s="4">
        <f>H13-88</f>
        <v>333</v>
      </c>
      <c r="I16" s="65">
        <v>2</v>
      </c>
      <c r="J16" s="4">
        <f t="shared" si="2"/>
        <v>333</v>
      </c>
      <c r="K16" s="4"/>
    </row>
    <row r="17" spans="1:11" ht="12.75">
      <c r="A17" s="34" t="s">
        <v>19</v>
      </c>
      <c r="B17" s="70" t="s">
        <v>64</v>
      </c>
      <c r="C17" s="106"/>
      <c r="D17" s="19">
        <f>D14-15</f>
        <v>38</v>
      </c>
      <c r="E17" s="19">
        <f>E14-278-519</f>
        <v>958</v>
      </c>
      <c r="F17" s="4">
        <f>SUM(B17:E17)</f>
        <v>996</v>
      </c>
      <c r="G17" s="4"/>
      <c r="H17" s="70">
        <f>H14-2</f>
        <v>7</v>
      </c>
      <c r="I17" s="70" t="s">
        <v>64</v>
      </c>
      <c r="J17" s="4">
        <f t="shared" si="2"/>
        <v>7</v>
      </c>
      <c r="K17" s="19"/>
    </row>
    <row r="18" spans="1:10" ht="18.75" customHeight="1">
      <c r="A18" s="29" t="s">
        <v>53</v>
      </c>
      <c r="B18" s="115">
        <f>B20+B19</f>
        <v>62</v>
      </c>
      <c r="C18" s="115"/>
      <c r="D18" s="115">
        <f>D20+D19</f>
        <v>3731</v>
      </c>
      <c r="E18" s="115">
        <f>E20+E19</f>
        <v>28914</v>
      </c>
      <c r="F18" s="115">
        <f>F20+F19</f>
        <v>32707</v>
      </c>
      <c r="G18" s="115"/>
      <c r="H18" s="115">
        <f aca="true" t="shared" si="3" ref="H18:H23">H6+H12</f>
        <v>970</v>
      </c>
      <c r="I18" s="115">
        <f aca="true" t="shared" si="4" ref="I18:I23">I6</f>
        <v>159</v>
      </c>
      <c r="J18" s="115">
        <f>H18+I18</f>
        <v>1129</v>
      </c>
    </row>
    <row r="19" spans="1:10" ht="12.75">
      <c r="A19" s="34" t="s">
        <v>17</v>
      </c>
      <c r="B19" s="4">
        <f>B7+B13</f>
        <v>45</v>
      </c>
      <c r="C19" s="4"/>
      <c r="D19" s="4">
        <f aca="true" t="shared" si="5" ref="D19:F20">D7+D13</f>
        <v>2511</v>
      </c>
      <c r="E19" s="4">
        <f t="shared" si="5"/>
        <v>21564</v>
      </c>
      <c r="F19" s="4">
        <f t="shared" si="5"/>
        <v>24120</v>
      </c>
      <c r="G19" s="4"/>
      <c r="H19" s="4">
        <f t="shared" si="3"/>
        <v>934</v>
      </c>
      <c r="I19" s="4">
        <f t="shared" si="4"/>
        <v>55</v>
      </c>
      <c r="J19" s="4">
        <f>H19+I19</f>
        <v>989</v>
      </c>
    </row>
    <row r="20" spans="1:10" ht="12.75">
      <c r="A20" s="34" t="s">
        <v>19</v>
      </c>
      <c r="B20" s="4">
        <v>17</v>
      </c>
      <c r="C20" s="4"/>
      <c r="D20" s="4">
        <f t="shared" si="5"/>
        <v>1220</v>
      </c>
      <c r="E20" s="4">
        <f t="shared" si="5"/>
        <v>7350</v>
      </c>
      <c r="F20" s="4">
        <f t="shared" si="5"/>
        <v>8587</v>
      </c>
      <c r="G20" s="4"/>
      <c r="H20" s="4">
        <f t="shared" si="3"/>
        <v>36</v>
      </c>
      <c r="I20" s="4">
        <f t="shared" si="4"/>
        <v>104</v>
      </c>
      <c r="J20" s="4">
        <f>H20+I20</f>
        <v>140</v>
      </c>
    </row>
    <row r="21" spans="1:10" ht="24" customHeight="1">
      <c r="A21" s="52" t="s">
        <v>49</v>
      </c>
      <c r="B21" s="4">
        <f>B23+B22</f>
        <v>28</v>
      </c>
      <c r="C21" s="4"/>
      <c r="D21" s="4">
        <f>D23+D22</f>
        <v>1802</v>
      </c>
      <c r="E21" s="4">
        <f>E23+E22</f>
        <v>15089</v>
      </c>
      <c r="F21" s="4">
        <f>F23+F22</f>
        <v>16919</v>
      </c>
      <c r="G21" s="4"/>
      <c r="H21" s="4">
        <f t="shared" si="3"/>
        <v>616</v>
      </c>
      <c r="I21" s="4">
        <f t="shared" si="4"/>
        <v>29</v>
      </c>
      <c r="J21" s="4">
        <f>J9+J15</f>
        <v>645</v>
      </c>
    </row>
    <row r="22" spans="1:10" ht="12.75">
      <c r="A22" s="51" t="s">
        <v>17</v>
      </c>
      <c r="B22" s="4">
        <f>B10+B16</f>
        <v>22</v>
      </c>
      <c r="C22" s="4"/>
      <c r="D22" s="4">
        <f aca="true" t="shared" si="6" ref="D22:F23">D10+D16</f>
        <v>1366</v>
      </c>
      <c r="E22" s="4">
        <f t="shared" si="6"/>
        <v>11949</v>
      </c>
      <c r="F22" s="4">
        <f t="shared" si="6"/>
        <v>13337</v>
      </c>
      <c r="G22" s="4"/>
      <c r="H22" s="4">
        <f t="shared" si="3"/>
        <v>596</v>
      </c>
      <c r="I22" s="4">
        <f t="shared" si="4"/>
        <v>15</v>
      </c>
      <c r="J22" s="4">
        <f>J10+J16</f>
        <v>611</v>
      </c>
    </row>
    <row r="23" spans="1:11" ht="12.75">
      <c r="A23" s="35" t="s">
        <v>19</v>
      </c>
      <c r="B23" s="63">
        <v>6</v>
      </c>
      <c r="C23" s="63"/>
      <c r="D23" s="63">
        <f t="shared" si="6"/>
        <v>436</v>
      </c>
      <c r="E23" s="63">
        <f t="shared" si="6"/>
        <v>3140</v>
      </c>
      <c r="F23" s="63">
        <f t="shared" si="6"/>
        <v>3582</v>
      </c>
      <c r="G23" s="63"/>
      <c r="H23" s="63">
        <f t="shared" si="3"/>
        <v>20</v>
      </c>
      <c r="I23" s="63">
        <f t="shared" si="4"/>
        <v>14</v>
      </c>
      <c r="J23" s="63">
        <f>J11+J17</f>
        <v>34</v>
      </c>
      <c r="K23" s="6"/>
    </row>
    <row r="24" spans="1:11" ht="23.25" customHeight="1">
      <c r="A24" s="35"/>
      <c r="B24" s="19"/>
      <c r="C24" s="19"/>
      <c r="D24" s="19"/>
      <c r="E24" s="19"/>
      <c r="F24" s="19"/>
      <c r="G24" s="19"/>
      <c r="H24" s="19"/>
      <c r="I24" s="19"/>
      <c r="J24" s="19"/>
      <c r="K24" s="6"/>
    </row>
    <row r="25" spans="1:10" ht="14.25" customHeight="1">
      <c r="A25" s="167" t="s">
        <v>70</v>
      </c>
      <c r="B25" s="168"/>
      <c r="C25" s="168"/>
      <c r="D25" s="168"/>
      <c r="E25" s="168"/>
      <c r="F25" s="168"/>
      <c r="G25" s="168"/>
      <c r="H25" s="168"/>
      <c r="I25" s="168"/>
      <c r="J25" s="168"/>
    </row>
    <row r="26" ht="12.75">
      <c r="A26" s="28"/>
    </row>
    <row r="27" ht="12.75">
      <c r="A27" s="28"/>
    </row>
    <row r="28" ht="12.75">
      <c r="A28" s="28"/>
    </row>
  </sheetData>
  <sheetProtection/>
  <mergeCells count="3">
    <mergeCell ref="A1:J1"/>
    <mergeCell ref="A3:J3"/>
    <mergeCell ref="A25:J25"/>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
      <selection activeCell="D34" sqref="D34:D35"/>
    </sheetView>
  </sheetViews>
  <sheetFormatPr defaultColWidth="9.140625" defaultRowHeight="12.75"/>
  <cols>
    <col min="1" max="1" width="11.28125" style="0" customWidth="1"/>
    <col min="2" max="2" width="9.28125" style="0" customWidth="1"/>
    <col min="3" max="3" width="1.7109375" style="0" customWidth="1"/>
    <col min="4" max="4" width="8.28125" style="0" customWidth="1"/>
    <col min="5" max="5" width="1.57421875" style="0" customWidth="1"/>
    <col min="6" max="6" width="8.00390625" style="0" customWidth="1"/>
    <col min="7" max="7" width="7.57421875" style="0" customWidth="1"/>
    <col min="9" max="9" width="1.7109375" style="0" customWidth="1"/>
    <col min="10" max="10" width="8.57421875" style="0" customWidth="1"/>
    <col min="11" max="11" width="8.00390625" style="0" customWidth="1"/>
    <col min="12" max="12" width="7.57421875" style="0" customWidth="1"/>
    <col min="13" max="13" width="7.8515625" style="0" customWidth="1"/>
  </cols>
  <sheetData>
    <row r="1" spans="1:13" ht="27.75" customHeight="1">
      <c r="A1" s="173" t="s">
        <v>180</v>
      </c>
      <c r="B1" s="174"/>
      <c r="C1" s="174"/>
      <c r="D1" s="174"/>
      <c r="E1" s="174"/>
      <c r="F1" s="174"/>
      <c r="G1" s="174"/>
      <c r="H1" s="174"/>
      <c r="I1" s="174"/>
      <c r="J1" s="174"/>
      <c r="K1" s="174"/>
      <c r="L1" s="174"/>
      <c r="M1" s="174"/>
    </row>
    <row r="2" spans="1:13" ht="7.5" customHeight="1">
      <c r="A2" s="75"/>
      <c r="B2" s="76"/>
      <c r="C2" s="76"/>
      <c r="D2" s="76"/>
      <c r="E2" s="76"/>
      <c r="F2" s="76"/>
      <c r="G2" s="76"/>
      <c r="H2" s="76"/>
      <c r="I2" s="76"/>
      <c r="J2" s="76"/>
      <c r="K2" s="76"/>
      <c r="L2" s="76"/>
      <c r="M2" s="76"/>
    </row>
    <row r="3" spans="1:13" ht="25.5" customHeight="1">
      <c r="A3" s="176" t="s">
        <v>179</v>
      </c>
      <c r="B3" s="176"/>
      <c r="C3" s="176"/>
      <c r="D3" s="176"/>
      <c r="E3" s="176"/>
      <c r="F3" s="176"/>
      <c r="G3" s="176"/>
      <c r="H3" s="176"/>
      <c r="I3" s="176"/>
      <c r="J3" s="176"/>
      <c r="K3" s="176"/>
      <c r="L3" s="176"/>
      <c r="M3" s="176"/>
    </row>
    <row r="4" spans="1:14" ht="27" customHeight="1">
      <c r="A4" s="142" t="s">
        <v>135</v>
      </c>
      <c r="B4" s="126" t="s">
        <v>71</v>
      </c>
      <c r="C4" s="85"/>
      <c r="D4" s="179" t="s">
        <v>72</v>
      </c>
      <c r="E4" s="179"/>
      <c r="F4" s="180"/>
      <c r="G4" s="180"/>
      <c r="H4" s="180"/>
      <c r="I4" s="21"/>
      <c r="J4" s="179" t="s">
        <v>73</v>
      </c>
      <c r="K4" s="180"/>
      <c r="L4" s="180"/>
      <c r="M4" s="84"/>
      <c r="N4" s="37"/>
    </row>
    <row r="5" spans="1:14" ht="47.25" customHeight="1">
      <c r="A5" s="5" t="s">
        <v>177</v>
      </c>
      <c r="B5" s="10" t="s">
        <v>123</v>
      </c>
      <c r="C5" s="10"/>
      <c r="D5" s="10" t="s">
        <v>140</v>
      </c>
      <c r="E5" s="97" t="s">
        <v>139</v>
      </c>
      <c r="F5" s="10" t="s">
        <v>124</v>
      </c>
      <c r="G5" s="10" t="s">
        <v>13</v>
      </c>
      <c r="H5" s="10" t="s">
        <v>59</v>
      </c>
      <c r="I5" s="10"/>
      <c r="J5" s="10" t="s">
        <v>63</v>
      </c>
      <c r="K5" s="10" t="s">
        <v>14</v>
      </c>
      <c r="L5" s="10" t="s">
        <v>122</v>
      </c>
      <c r="M5" s="10" t="s">
        <v>55</v>
      </c>
      <c r="N5" s="20"/>
    </row>
    <row r="6" spans="1:14" ht="18.75" customHeight="1">
      <c r="A6" s="111" t="s">
        <v>17</v>
      </c>
      <c r="B6" s="120">
        <v>100</v>
      </c>
      <c r="C6" s="120"/>
      <c r="D6" s="120">
        <v>100</v>
      </c>
      <c r="E6" s="120"/>
      <c r="F6" s="120">
        <v>100</v>
      </c>
      <c r="G6" s="120">
        <v>100</v>
      </c>
      <c r="H6" s="120">
        <v>100</v>
      </c>
      <c r="I6" s="120"/>
      <c r="J6" s="120">
        <v>100</v>
      </c>
      <c r="K6" s="120">
        <v>100</v>
      </c>
      <c r="L6" s="120">
        <v>100</v>
      </c>
      <c r="M6" s="120">
        <v>100</v>
      </c>
      <c r="N6" s="7"/>
    </row>
    <row r="7" spans="1:14" ht="12.75">
      <c r="A7" s="13" t="s">
        <v>27</v>
      </c>
      <c r="B7" s="124">
        <v>0</v>
      </c>
      <c r="C7" s="109"/>
      <c r="D7" s="7">
        <v>6.6</v>
      </c>
      <c r="E7" s="98"/>
      <c r="F7" s="124">
        <v>0</v>
      </c>
      <c r="G7" s="124">
        <v>0</v>
      </c>
      <c r="H7" s="7">
        <v>0.5</v>
      </c>
      <c r="I7" s="98"/>
      <c r="J7" s="7">
        <v>4.7</v>
      </c>
      <c r="K7" s="124" t="s">
        <v>64</v>
      </c>
      <c r="L7" s="7">
        <v>3.3</v>
      </c>
      <c r="M7" s="7">
        <v>4.6</v>
      </c>
      <c r="N7" s="4"/>
    </row>
    <row r="8" spans="1:14" ht="12.75">
      <c r="A8" s="3" t="s">
        <v>28</v>
      </c>
      <c r="B8" s="7">
        <v>25.1</v>
      </c>
      <c r="C8" s="98"/>
      <c r="D8" s="7">
        <v>77</v>
      </c>
      <c r="E8" s="98"/>
      <c r="F8" s="7">
        <v>63</v>
      </c>
      <c r="G8" s="7">
        <v>46.7</v>
      </c>
      <c r="H8" s="7">
        <v>46.9</v>
      </c>
      <c r="I8" s="98"/>
      <c r="J8" s="7">
        <v>47.9</v>
      </c>
      <c r="K8" s="7">
        <v>13.1</v>
      </c>
      <c r="L8" s="7">
        <v>37.8</v>
      </c>
      <c r="M8" s="7">
        <v>47.2</v>
      </c>
      <c r="N8" s="4"/>
    </row>
    <row r="9" spans="1:14" ht="12.75">
      <c r="A9" s="3" t="s">
        <v>20</v>
      </c>
      <c r="B9" s="7">
        <v>18.6</v>
      </c>
      <c r="C9" s="98"/>
      <c r="D9" s="7">
        <v>8.8</v>
      </c>
      <c r="E9" s="98"/>
      <c r="F9" s="7">
        <v>13.4</v>
      </c>
      <c r="G9" s="7">
        <v>16.3</v>
      </c>
      <c r="H9" s="7">
        <v>15.8</v>
      </c>
      <c r="I9" s="98"/>
      <c r="J9" s="7">
        <v>22.1</v>
      </c>
      <c r="K9" s="7">
        <v>44.9</v>
      </c>
      <c r="L9" s="7">
        <v>24.1</v>
      </c>
      <c r="M9" s="7">
        <v>22.3</v>
      </c>
      <c r="N9" s="4"/>
    </row>
    <row r="10" spans="1:14" ht="12.75">
      <c r="A10" s="3" t="s">
        <v>21</v>
      </c>
      <c r="B10" s="7">
        <v>20.1</v>
      </c>
      <c r="C10" s="98"/>
      <c r="D10" s="7">
        <v>3.8</v>
      </c>
      <c r="E10" s="98"/>
      <c r="F10" s="7">
        <v>8.1</v>
      </c>
      <c r="G10" s="7">
        <v>13.3</v>
      </c>
      <c r="H10" s="7">
        <v>13.2</v>
      </c>
      <c r="I10" s="98"/>
      <c r="J10" s="7">
        <v>10.3</v>
      </c>
      <c r="K10" s="7">
        <v>14</v>
      </c>
      <c r="L10" s="7">
        <v>13.9</v>
      </c>
      <c r="M10" s="7">
        <v>10.6</v>
      </c>
      <c r="N10" s="4"/>
    </row>
    <row r="11" spans="1:14" ht="12.75">
      <c r="A11" s="3" t="s">
        <v>22</v>
      </c>
      <c r="B11" s="7">
        <v>17</v>
      </c>
      <c r="C11" s="98"/>
      <c r="D11" s="7">
        <v>2.1</v>
      </c>
      <c r="E11" s="98"/>
      <c r="F11" s="7">
        <v>6.7</v>
      </c>
      <c r="G11" s="7">
        <v>11.3</v>
      </c>
      <c r="H11" s="7">
        <v>11.1</v>
      </c>
      <c r="I11" s="98"/>
      <c r="J11" s="7">
        <v>8</v>
      </c>
      <c r="K11" s="7">
        <v>13.1</v>
      </c>
      <c r="L11" s="7">
        <v>10.1</v>
      </c>
      <c r="M11" s="7">
        <v>8.2</v>
      </c>
      <c r="N11" s="4"/>
    </row>
    <row r="12" spans="1:14" ht="12.75">
      <c r="A12" s="3" t="s">
        <v>23</v>
      </c>
      <c r="B12" s="7">
        <v>12.2</v>
      </c>
      <c r="C12" s="98"/>
      <c r="D12" s="7">
        <v>1.1</v>
      </c>
      <c r="E12" s="98"/>
      <c r="F12" s="7">
        <v>5.2</v>
      </c>
      <c r="G12" s="7">
        <v>7.6</v>
      </c>
      <c r="H12" s="7">
        <v>7.7</v>
      </c>
      <c r="I12" s="98"/>
      <c r="J12" s="7">
        <v>4.9</v>
      </c>
      <c r="K12" s="7">
        <v>9.3</v>
      </c>
      <c r="L12" s="7">
        <v>6.9</v>
      </c>
      <c r="M12" s="7">
        <v>5</v>
      </c>
      <c r="N12" s="4"/>
    </row>
    <row r="13" spans="1:14" ht="12.75">
      <c r="A13" s="3" t="s">
        <v>24</v>
      </c>
      <c r="B13" s="7">
        <v>6.4</v>
      </c>
      <c r="C13" s="98"/>
      <c r="D13" s="7">
        <v>0.5</v>
      </c>
      <c r="E13" s="98"/>
      <c r="F13" s="7">
        <v>3.2</v>
      </c>
      <c r="G13" s="7">
        <v>4</v>
      </c>
      <c r="H13" s="7">
        <v>4.1</v>
      </c>
      <c r="I13" s="98"/>
      <c r="J13" s="7">
        <v>1.9</v>
      </c>
      <c r="K13" s="7">
        <v>4.7</v>
      </c>
      <c r="L13" s="7">
        <v>3.4</v>
      </c>
      <c r="M13" s="7">
        <v>2</v>
      </c>
      <c r="N13" s="4"/>
    </row>
    <row r="14" spans="1:14" ht="12.75">
      <c r="A14" s="3" t="s">
        <v>25</v>
      </c>
      <c r="B14" s="7">
        <v>0.6</v>
      </c>
      <c r="C14" s="98"/>
      <c r="D14" s="7">
        <v>0</v>
      </c>
      <c r="E14" s="98"/>
      <c r="F14" s="7">
        <v>0.3</v>
      </c>
      <c r="G14" s="7">
        <v>0.8</v>
      </c>
      <c r="H14" s="7">
        <v>0.7</v>
      </c>
      <c r="I14" s="98"/>
      <c r="J14" s="7">
        <v>0.2</v>
      </c>
      <c r="K14" s="124">
        <v>0.9</v>
      </c>
      <c r="L14" s="7">
        <v>0.4</v>
      </c>
      <c r="M14" s="7">
        <v>0.2</v>
      </c>
      <c r="N14" s="4"/>
    </row>
    <row r="15" spans="1:14" ht="12.75">
      <c r="A15" s="3" t="s">
        <v>26</v>
      </c>
      <c r="B15" s="124" t="s">
        <v>64</v>
      </c>
      <c r="C15" s="98"/>
      <c r="D15" s="124" t="s">
        <v>64</v>
      </c>
      <c r="E15" s="109"/>
      <c r="F15" s="124" t="s">
        <v>64</v>
      </c>
      <c r="G15" s="7">
        <v>0</v>
      </c>
      <c r="H15" s="7">
        <v>0</v>
      </c>
      <c r="I15" s="98"/>
      <c r="J15" s="7">
        <v>0</v>
      </c>
      <c r="K15" s="124" t="s">
        <v>64</v>
      </c>
      <c r="L15" s="124">
        <v>0</v>
      </c>
      <c r="M15" s="7">
        <v>0</v>
      </c>
      <c r="N15" s="4"/>
    </row>
    <row r="16" spans="1:14" ht="12.75">
      <c r="A16" s="3" t="s">
        <v>182</v>
      </c>
      <c r="B16" s="4">
        <v>11527</v>
      </c>
      <c r="C16" s="4"/>
      <c r="D16" s="4">
        <v>4374</v>
      </c>
      <c r="E16" s="4"/>
      <c r="F16" s="4">
        <v>8111</v>
      </c>
      <c r="G16" s="4">
        <v>40471</v>
      </c>
      <c r="H16" s="4">
        <v>64483</v>
      </c>
      <c r="I16" s="4"/>
      <c r="J16" s="4">
        <v>158499</v>
      </c>
      <c r="K16" s="4">
        <v>107</v>
      </c>
      <c r="L16" s="4">
        <v>11794</v>
      </c>
      <c r="M16" s="4">
        <v>170400</v>
      </c>
      <c r="N16" s="4"/>
    </row>
    <row r="17" spans="2:14" ht="16.5" customHeight="1">
      <c r="B17" s="92"/>
      <c r="C17" s="92"/>
      <c r="D17" s="92"/>
      <c r="E17" s="92"/>
      <c r="F17" s="92"/>
      <c r="G17" s="92"/>
      <c r="H17" s="92"/>
      <c r="I17" s="92"/>
      <c r="J17" s="92"/>
      <c r="K17" s="92"/>
      <c r="L17" s="92"/>
      <c r="M17" s="92"/>
      <c r="N17" s="4"/>
    </row>
    <row r="18" spans="1:14" ht="16.5" customHeight="1">
      <c r="A18" s="14" t="s">
        <v>19</v>
      </c>
      <c r="B18" s="120">
        <v>100</v>
      </c>
      <c r="C18" s="120"/>
      <c r="D18" s="120">
        <v>100</v>
      </c>
      <c r="E18" s="120"/>
      <c r="F18" s="120">
        <v>100</v>
      </c>
      <c r="G18" s="120">
        <v>100</v>
      </c>
      <c r="H18" s="120">
        <v>100</v>
      </c>
      <c r="I18" s="120"/>
      <c r="J18" s="120">
        <f>SUM(J19:J27)</f>
        <v>100.1</v>
      </c>
      <c r="K18" s="120">
        <f>SUM(K19:K27)</f>
        <v>100.10000000000001</v>
      </c>
      <c r="L18" s="120">
        <v>100</v>
      </c>
      <c r="M18" s="120">
        <v>100</v>
      </c>
      <c r="N18" s="4"/>
    </row>
    <row r="19" spans="1:14" ht="12.75">
      <c r="A19" s="13" t="s">
        <v>27</v>
      </c>
      <c r="B19" s="124">
        <v>0</v>
      </c>
      <c r="C19" s="109"/>
      <c r="D19" s="7">
        <v>8.8</v>
      </c>
      <c r="E19" s="98"/>
      <c r="F19" s="124">
        <v>0.1</v>
      </c>
      <c r="G19" s="124">
        <v>0</v>
      </c>
      <c r="H19" s="7">
        <v>1.3</v>
      </c>
      <c r="I19" s="98"/>
      <c r="J19" s="7">
        <v>4.8</v>
      </c>
      <c r="K19" s="124" t="s">
        <v>64</v>
      </c>
      <c r="L19" s="7">
        <v>4.9</v>
      </c>
      <c r="M19" s="7">
        <v>4.8</v>
      </c>
      <c r="N19" s="4"/>
    </row>
    <row r="20" spans="1:14" ht="12.75">
      <c r="A20" s="3" t="s">
        <v>28</v>
      </c>
      <c r="B20" s="7">
        <v>35.8</v>
      </c>
      <c r="C20" s="98"/>
      <c r="D20" s="7">
        <v>77.7</v>
      </c>
      <c r="E20" s="98"/>
      <c r="F20" s="7">
        <v>68.3</v>
      </c>
      <c r="G20" s="7">
        <v>62.1</v>
      </c>
      <c r="H20" s="7">
        <v>61.4</v>
      </c>
      <c r="I20" s="98"/>
      <c r="J20" s="7">
        <v>54.6</v>
      </c>
      <c r="K20" s="7">
        <v>1.5</v>
      </c>
      <c r="L20" s="7">
        <v>42</v>
      </c>
      <c r="M20" s="7">
        <v>53.4</v>
      </c>
      <c r="N20" s="4"/>
    </row>
    <row r="21" spans="1:14" ht="12.75">
      <c r="A21" s="3" t="s">
        <v>20</v>
      </c>
      <c r="B21" s="7">
        <v>17.3</v>
      </c>
      <c r="C21" s="98"/>
      <c r="D21" s="7">
        <v>8.4</v>
      </c>
      <c r="E21" s="98"/>
      <c r="F21" s="7">
        <v>16.8</v>
      </c>
      <c r="G21" s="7">
        <v>15.8</v>
      </c>
      <c r="H21" s="7">
        <v>15.1</v>
      </c>
      <c r="I21" s="98"/>
      <c r="J21" s="7">
        <v>26.4</v>
      </c>
      <c r="K21" s="7">
        <v>50</v>
      </c>
      <c r="L21" s="7">
        <v>27</v>
      </c>
      <c r="M21" s="7">
        <v>26.4</v>
      </c>
      <c r="N21" s="4"/>
    </row>
    <row r="22" spans="1:14" ht="12.75">
      <c r="A22" s="3" t="s">
        <v>21</v>
      </c>
      <c r="B22" s="7">
        <v>14.7</v>
      </c>
      <c r="C22" s="98"/>
      <c r="D22" s="7">
        <v>2.9</v>
      </c>
      <c r="E22" s="98"/>
      <c r="F22" s="7">
        <v>5.7</v>
      </c>
      <c r="G22" s="7">
        <v>8.3</v>
      </c>
      <c r="H22" s="7">
        <v>8.1</v>
      </c>
      <c r="I22" s="98"/>
      <c r="J22" s="7">
        <v>7.7</v>
      </c>
      <c r="K22" s="7">
        <v>22.1</v>
      </c>
      <c r="L22" s="7">
        <v>13.8</v>
      </c>
      <c r="M22" s="7">
        <v>8.3</v>
      </c>
      <c r="N22" s="4"/>
    </row>
    <row r="23" spans="1:14" ht="12.75">
      <c r="A23" s="3" t="s">
        <v>22</v>
      </c>
      <c r="B23" s="7">
        <v>13.7</v>
      </c>
      <c r="C23" s="98"/>
      <c r="D23" s="7">
        <v>1.5</v>
      </c>
      <c r="E23" s="98"/>
      <c r="F23" s="7">
        <v>3.9</v>
      </c>
      <c r="G23" s="7">
        <v>6.3</v>
      </c>
      <c r="H23" s="7">
        <v>6.3</v>
      </c>
      <c r="I23" s="98"/>
      <c r="J23" s="7">
        <v>3.8</v>
      </c>
      <c r="K23" s="7">
        <v>16.2</v>
      </c>
      <c r="L23" s="7">
        <v>6.8</v>
      </c>
      <c r="M23" s="7">
        <v>4.1</v>
      </c>
      <c r="N23" s="4"/>
    </row>
    <row r="24" spans="1:14" ht="12.75">
      <c r="A24" s="3" t="s">
        <v>23</v>
      </c>
      <c r="B24" s="7">
        <v>10.3</v>
      </c>
      <c r="C24" s="98"/>
      <c r="D24" s="7">
        <v>0.6</v>
      </c>
      <c r="E24" s="98"/>
      <c r="F24" s="7">
        <v>3.3</v>
      </c>
      <c r="G24" s="7">
        <v>4.5</v>
      </c>
      <c r="H24" s="7">
        <v>4.6</v>
      </c>
      <c r="I24" s="98"/>
      <c r="J24" s="7">
        <v>2</v>
      </c>
      <c r="K24" s="7">
        <v>5.9</v>
      </c>
      <c r="L24" s="7">
        <v>3.8</v>
      </c>
      <c r="M24" s="7">
        <v>2.1</v>
      </c>
      <c r="N24" s="4"/>
    </row>
    <row r="25" spans="1:14" ht="12.75">
      <c r="A25" s="3" t="s">
        <v>24</v>
      </c>
      <c r="B25" s="7">
        <v>7.5</v>
      </c>
      <c r="C25" s="98"/>
      <c r="D25" s="7">
        <v>0.1</v>
      </c>
      <c r="E25" s="98"/>
      <c r="F25" s="7">
        <v>1.7</v>
      </c>
      <c r="G25" s="7">
        <v>2.6</v>
      </c>
      <c r="H25" s="7">
        <v>2.8</v>
      </c>
      <c r="I25" s="98"/>
      <c r="J25" s="7">
        <v>0.7</v>
      </c>
      <c r="K25" s="124">
        <v>4.4</v>
      </c>
      <c r="L25" s="7">
        <v>1.6</v>
      </c>
      <c r="M25" s="7">
        <v>0.8</v>
      </c>
      <c r="N25" s="4"/>
    </row>
    <row r="26" spans="1:14" ht="12.75">
      <c r="A26" s="3" t="s">
        <v>25</v>
      </c>
      <c r="B26" s="7">
        <v>0.8</v>
      </c>
      <c r="C26" s="98"/>
      <c r="D26" s="124" t="s">
        <v>64</v>
      </c>
      <c r="E26" s="98"/>
      <c r="F26" s="7">
        <v>0.2</v>
      </c>
      <c r="G26" s="7">
        <v>0.4</v>
      </c>
      <c r="H26" s="7">
        <v>0.4</v>
      </c>
      <c r="I26" s="98"/>
      <c r="J26" s="7">
        <v>0.1</v>
      </c>
      <c r="K26" s="124" t="s">
        <v>64</v>
      </c>
      <c r="L26" s="7">
        <v>0.2</v>
      </c>
      <c r="M26" s="7">
        <v>0.1</v>
      </c>
      <c r="N26" s="4"/>
    </row>
    <row r="27" spans="1:14" ht="12.75">
      <c r="A27" s="3" t="s">
        <v>26</v>
      </c>
      <c r="B27" s="124" t="s">
        <v>64</v>
      </c>
      <c r="C27" s="109"/>
      <c r="D27" s="124" t="s">
        <v>64</v>
      </c>
      <c r="E27" s="109"/>
      <c r="F27" s="124">
        <v>0</v>
      </c>
      <c r="G27" s="7">
        <v>0</v>
      </c>
      <c r="H27" s="7">
        <v>0</v>
      </c>
      <c r="I27" s="98"/>
      <c r="J27" s="7">
        <v>0</v>
      </c>
      <c r="K27" s="124" t="s">
        <v>64</v>
      </c>
      <c r="L27" s="124" t="s">
        <v>64</v>
      </c>
      <c r="M27" s="7">
        <v>0</v>
      </c>
      <c r="N27" s="4"/>
    </row>
    <row r="28" spans="1:14" ht="12.75">
      <c r="A28" s="21" t="s">
        <v>183</v>
      </c>
      <c r="B28" s="19">
        <v>5142</v>
      </c>
      <c r="C28" s="19"/>
      <c r="D28" s="19">
        <v>5109</v>
      </c>
      <c r="E28" s="19"/>
      <c r="F28" s="19">
        <v>5031</v>
      </c>
      <c r="G28" s="19">
        <v>20672</v>
      </c>
      <c r="H28" s="19">
        <v>35954</v>
      </c>
      <c r="I28" s="19"/>
      <c r="J28" s="19">
        <v>104265</v>
      </c>
      <c r="K28" s="19">
        <v>68</v>
      </c>
      <c r="L28" s="19">
        <v>10662</v>
      </c>
      <c r="M28" s="19">
        <v>114995</v>
      </c>
      <c r="N28" s="19"/>
    </row>
    <row r="29" ht="12.75">
      <c r="N29" s="19"/>
    </row>
    <row r="30" spans="1:13" ht="16.5" customHeight="1">
      <c r="A30" s="29" t="s">
        <v>4</v>
      </c>
      <c r="B30" s="120">
        <f>SUM(B31:B39)</f>
        <v>100.1</v>
      </c>
      <c r="C30" s="120"/>
      <c r="D30" s="120">
        <v>100</v>
      </c>
      <c r="E30" s="120"/>
      <c r="F30" s="120">
        <v>100</v>
      </c>
      <c r="G30" s="120">
        <v>100</v>
      </c>
      <c r="H30" s="120">
        <v>100</v>
      </c>
      <c r="I30" s="120"/>
      <c r="J30" s="120">
        <v>100</v>
      </c>
      <c r="K30" s="120">
        <v>100</v>
      </c>
      <c r="L30" s="120">
        <v>100</v>
      </c>
      <c r="M30" s="120">
        <v>100</v>
      </c>
    </row>
    <row r="31" spans="1:13" ht="12.75">
      <c r="A31" s="13" t="s">
        <v>27</v>
      </c>
      <c r="B31" s="124">
        <v>0</v>
      </c>
      <c r="C31" s="109"/>
      <c r="D31" s="7">
        <v>7.8</v>
      </c>
      <c r="E31" s="98"/>
      <c r="F31" s="124">
        <v>0</v>
      </c>
      <c r="G31" s="124">
        <v>0</v>
      </c>
      <c r="H31" s="7">
        <v>0.8</v>
      </c>
      <c r="I31" s="98"/>
      <c r="J31" s="7">
        <v>4.7</v>
      </c>
      <c r="K31" s="124" t="s">
        <v>64</v>
      </c>
      <c r="L31" s="7">
        <v>4</v>
      </c>
      <c r="M31" s="7">
        <v>4.7</v>
      </c>
    </row>
    <row r="32" spans="1:13" ht="12.75">
      <c r="A32" s="3" t="s">
        <v>28</v>
      </c>
      <c r="B32" s="7">
        <v>28.4</v>
      </c>
      <c r="C32" s="98"/>
      <c r="D32" s="7">
        <v>77.4</v>
      </c>
      <c r="E32" s="98"/>
      <c r="F32" s="7">
        <v>65.1</v>
      </c>
      <c r="G32" s="7">
        <v>51.9</v>
      </c>
      <c r="H32" s="7">
        <v>52.1</v>
      </c>
      <c r="I32" s="98"/>
      <c r="J32" s="7">
        <v>50.5</v>
      </c>
      <c r="K32" s="7">
        <v>8.6</v>
      </c>
      <c r="L32" s="7">
        <v>39.8</v>
      </c>
      <c r="M32" s="7">
        <v>49.7</v>
      </c>
    </row>
    <row r="33" spans="1:13" ht="12.75">
      <c r="A33" s="3" t="s">
        <v>20</v>
      </c>
      <c r="B33" s="7">
        <v>18.2</v>
      </c>
      <c r="C33" s="98"/>
      <c r="D33" s="7">
        <v>8.6</v>
      </c>
      <c r="E33" s="98"/>
      <c r="F33" s="7">
        <v>14.7</v>
      </c>
      <c r="G33" s="7">
        <v>16.1</v>
      </c>
      <c r="H33" s="7">
        <v>15.6</v>
      </c>
      <c r="I33" s="98"/>
      <c r="J33" s="7">
        <v>23.8</v>
      </c>
      <c r="K33" s="7">
        <v>46.9</v>
      </c>
      <c r="L33" s="7">
        <v>25.5</v>
      </c>
      <c r="M33" s="7">
        <v>24</v>
      </c>
    </row>
    <row r="34" spans="1:13" ht="12.75">
      <c r="A34" s="3" t="s">
        <v>21</v>
      </c>
      <c r="B34" s="7">
        <v>18.5</v>
      </c>
      <c r="C34" s="98"/>
      <c r="D34" s="7">
        <v>3.3</v>
      </c>
      <c r="E34" s="98"/>
      <c r="F34" s="7">
        <v>7.2</v>
      </c>
      <c r="G34" s="7">
        <v>11.6</v>
      </c>
      <c r="H34" s="7">
        <v>11.4</v>
      </c>
      <c r="I34" s="98"/>
      <c r="J34" s="7">
        <v>9.3</v>
      </c>
      <c r="K34" s="7">
        <v>17.1</v>
      </c>
      <c r="L34" s="7">
        <v>13.8</v>
      </c>
      <c r="M34" s="7">
        <v>9.6</v>
      </c>
    </row>
    <row r="35" spans="1:13" ht="12.75">
      <c r="A35" s="3" t="s">
        <v>22</v>
      </c>
      <c r="B35" s="7">
        <v>16</v>
      </c>
      <c r="C35" s="98"/>
      <c r="D35" s="7">
        <v>1.7</v>
      </c>
      <c r="E35" s="98"/>
      <c r="F35" s="7">
        <v>5.7</v>
      </c>
      <c r="G35" s="7">
        <v>9.6</v>
      </c>
      <c r="H35" s="7">
        <v>9.4</v>
      </c>
      <c r="I35" s="98"/>
      <c r="J35" s="7">
        <v>6.4</v>
      </c>
      <c r="K35" s="7">
        <v>14.3</v>
      </c>
      <c r="L35" s="7">
        <v>8.5</v>
      </c>
      <c r="M35" s="7">
        <v>6.5</v>
      </c>
    </row>
    <row r="36" spans="1:13" ht="12.75">
      <c r="A36" s="3" t="s">
        <v>23</v>
      </c>
      <c r="B36" s="7">
        <v>11.6</v>
      </c>
      <c r="C36" s="98"/>
      <c r="D36" s="7">
        <v>0.9</v>
      </c>
      <c r="E36" s="98"/>
      <c r="F36" s="7">
        <v>4.4</v>
      </c>
      <c r="G36" s="7">
        <v>6.6</v>
      </c>
      <c r="H36" s="7">
        <v>6.6</v>
      </c>
      <c r="I36" s="98"/>
      <c r="J36" s="7">
        <v>3.7</v>
      </c>
      <c r="K36" s="7">
        <v>8</v>
      </c>
      <c r="L36" s="7">
        <v>5.4</v>
      </c>
      <c r="M36" s="7">
        <v>3.9</v>
      </c>
    </row>
    <row r="37" spans="1:13" ht="12.75">
      <c r="A37" s="3" t="s">
        <v>24</v>
      </c>
      <c r="B37" s="7">
        <v>6.7</v>
      </c>
      <c r="C37" s="98"/>
      <c r="D37" s="7">
        <v>0.3</v>
      </c>
      <c r="E37" s="98"/>
      <c r="F37" s="7">
        <v>2.6</v>
      </c>
      <c r="G37" s="7">
        <v>3.5</v>
      </c>
      <c r="H37" s="7">
        <v>3.6</v>
      </c>
      <c r="I37" s="98"/>
      <c r="J37" s="7">
        <v>1.4</v>
      </c>
      <c r="K37" s="7">
        <v>4.6</v>
      </c>
      <c r="L37" s="7">
        <v>2.6</v>
      </c>
      <c r="M37" s="7">
        <v>1.5</v>
      </c>
    </row>
    <row r="38" spans="1:13" ht="12.75">
      <c r="A38" s="3" t="s">
        <v>25</v>
      </c>
      <c r="B38" s="7">
        <v>0.7</v>
      </c>
      <c r="C38" s="98"/>
      <c r="D38" s="7">
        <v>0</v>
      </c>
      <c r="E38" s="98"/>
      <c r="F38" s="7">
        <v>0.3</v>
      </c>
      <c r="G38" s="7">
        <v>0.7</v>
      </c>
      <c r="H38" s="7">
        <v>0.6</v>
      </c>
      <c r="I38" s="98"/>
      <c r="J38" s="7">
        <v>0.2</v>
      </c>
      <c r="K38" s="7">
        <v>0.6</v>
      </c>
      <c r="L38" s="7">
        <v>0.3</v>
      </c>
      <c r="M38" s="7">
        <v>0.2</v>
      </c>
    </row>
    <row r="39" spans="1:13" ht="12.75">
      <c r="A39" s="3" t="s">
        <v>26</v>
      </c>
      <c r="B39" s="124" t="s">
        <v>64</v>
      </c>
      <c r="C39" s="98"/>
      <c r="D39" s="124" t="s">
        <v>64</v>
      </c>
      <c r="E39" s="109"/>
      <c r="F39" s="124" t="s">
        <v>64</v>
      </c>
      <c r="G39" s="7">
        <v>0</v>
      </c>
      <c r="H39" s="7">
        <v>0</v>
      </c>
      <c r="I39" s="98"/>
      <c r="J39" s="7">
        <v>0</v>
      </c>
      <c r="K39" s="124" t="s">
        <v>64</v>
      </c>
      <c r="L39" s="124">
        <v>0</v>
      </c>
      <c r="M39" s="7">
        <v>0</v>
      </c>
    </row>
    <row r="40" spans="1:13" ht="16.5" customHeight="1">
      <c r="A40" s="3" t="s">
        <v>54</v>
      </c>
      <c r="B40" s="19">
        <v>16669</v>
      </c>
      <c r="C40" s="63"/>
      <c r="D40" s="63">
        <v>9483</v>
      </c>
      <c r="E40" s="63"/>
      <c r="F40" s="63">
        <v>13140</v>
      </c>
      <c r="G40" s="63">
        <v>61143</v>
      </c>
      <c r="H40" s="63">
        <v>100437</v>
      </c>
      <c r="I40" s="63"/>
      <c r="J40" s="63">
        <v>262764</v>
      </c>
      <c r="K40" s="63">
        <v>175</v>
      </c>
      <c r="L40" s="63">
        <v>22456</v>
      </c>
      <c r="M40" s="63">
        <v>285395</v>
      </c>
    </row>
    <row r="41" spans="1:13" ht="24" customHeight="1">
      <c r="A41" s="181"/>
      <c r="B41" s="182"/>
      <c r="C41" s="19"/>
      <c r="D41" s="19"/>
      <c r="E41" s="19"/>
      <c r="F41" s="19"/>
      <c r="G41" s="19"/>
      <c r="H41" s="19"/>
      <c r="I41" s="19"/>
      <c r="J41" s="19"/>
      <c r="K41" s="19"/>
      <c r="L41" s="19"/>
      <c r="M41" s="19"/>
    </row>
    <row r="42" spans="1:13" ht="36.75" customHeight="1">
      <c r="A42" s="167" t="s">
        <v>117</v>
      </c>
      <c r="B42" s="168"/>
      <c r="C42" s="168"/>
      <c r="D42" s="168"/>
      <c r="E42" s="168"/>
      <c r="F42" s="168"/>
      <c r="G42" s="168"/>
      <c r="H42" s="168"/>
      <c r="I42" s="168"/>
      <c r="J42" s="168"/>
      <c r="K42" s="168"/>
      <c r="L42" s="168"/>
      <c r="M42" s="168"/>
    </row>
    <row r="43" spans="1:13" ht="12.75">
      <c r="A43" s="16"/>
      <c r="B43" s="16"/>
      <c r="C43" s="16"/>
      <c r="D43" s="16"/>
      <c r="E43" s="16"/>
      <c r="F43" s="16"/>
      <c r="G43" s="16"/>
      <c r="H43" s="16"/>
      <c r="I43" s="16"/>
      <c r="J43" s="16"/>
      <c r="K43" s="16"/>
      <c r="L43" s="16"/>
      <c r="M43" s="16"/>
    </row>
    <row r="44" spans="1:13" ht="12.75">
      <c r="A44" s="16"/>
      <c r="B44" s="16"/>
      <c r="C44" s="16"/>
      <c r="D44" s="16"/>
      <c r="E44" s="16"/>
      <c r="F44" s="16"/>
      <c r="G44" s="16"/>
      <c r="H44" s="16"/>
      <c r="I44" s="16"/>
      <c r="J44" s="16"/>
      <c r="K44" s="16"/>
      <c r="L44" s="16"/>
      <c r="M44" s="16"/>
    </row>
    <row r="45" ht="12.75">
      <c r="A45" s="28"/>
    </row>
    <row r="54" spans="1:9" ht="12.75">
      <c r="A54" s="28"/>
      <c r="B54" s="28"/>
      <c r="C54" s="28"/>
      <c r="D54" s="28"/>
      <c r="E54" s="28"/>
      <c r="F54" s="28"/>
      <c r="G54" s="28"/>
      <c r="H54" s="28"/>
      <c r="I54" s="28"/>
    </row>
    <row r="55" ht="12.75">
      <c r="A55" s="28"/>
    </row>
    <row r="56" ht="12.75">
      <c r="A56" s="28"/>
    </row>
  </sheetData>
  <sheetProtection/>
  <mergeCells count="6">
    <mergeCell ref="A1:M1"/>
    <mergeCell ref="A3:M3"/>
    <mergeCell ref="A42:M42"/>
    <mergeCell ref="D4:H4"/>
    <mergeCell ref="J4:L4"/>
    <mergeCell ref="A41:B41"/>
  </mergeCells>
  <printOptions/>
  <pageMargins left="0.7874015748031497" right="0.3937007874015748" top="0.984251968503937" bottom="0.984251968503937" header="0.5118110236220472" footer="0.5118110236220472"/>
  <pageSetup horizontalDpi="600" verticalDpi="600" orientation="portrait" paperSize="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Olof Fraenell</cp:lastModifiedBy>
  <cp:lastPrinted>2012-06-11T09:12:04Z</cp:lastPrinted>
  <dcterms:created xsi:type="dcterms:W3CDTF">2001-11-07T08:40:28Z</dcterms:created>
  <dcterms:modified xsi:type="dcterms:W3CDTF">2012-06-11T09:12:08Z</dcterms:modified>
  <cp:category/>
  <cp:version/>
  <cp:contentType/>
  <cp:contentStatus/>
</cp:coreProperties>
</file>